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8139282542c3e1/Documents/torkilstötens samfällighet/ekonomi/bokslut 2024/"/>
    </mc:Choice>
  </mc:AlternateContent>
  <xr:revisionPtr revIDLastSave="1" documentId="8_{6C980021-7983-412D-8B8A-3ECFE1EA08AA}" xr6:coauthVersionLast="47" xr6:coauthVersionMax="47" xr10:uidLastSave="{5667CB13-FA57-4286-8B77-D3DBA758743B}"/>
  <bookViews>
    <workbookView xWindow="-108" yWindow="-108" windowWidth="23256" windowHeight="12456" xr2:uid="{8E0BADB5-D392-466D-B0AE-D010E386997B}"/>
  </bookViews>
  <sheets>
    <sheet name="Sammanställning" sheetId="1" r:id="rId1"/>
    <sheet name="Blad1" sheetId="9" r:id="rId2"/>
    <sheet name="GA11 Vägar" sheetId="2" r:id="rId3"/>
    <sheet name="GA12 Sopstation" sheetId="3" r:id="rId4"/>
    <sheet name="GA13 Grönområde" sheetId="4" r:id="rId5"/>
    <sheet name="GA14 Vatten Ö.Skrållan" sheetId="5" r:id="rId6"/>
    <sheet name="GA15 Avlopp Ö.Skrållan" sheetId="6" r:id="rId7"/>
    <sheet name="GA16 Vatten Rosenberg" sheetId="7" r:id="rId8"/>
    <sheet name="Admin" sheetId="8" r:id="rId9"/>
  </sheets>
  <definedNames>
    <definedName name="_xlnm._FilterDatabase" localSheetId="3" hidden="1">'GA12 Sopstation'!$E$8:$H$32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10" i="6" l="1"/>
  <c r="B21" i="6" s="1"/>
  <c r="F9" i="1" l="1"/>
  <c r="E9" i="1"/>
  <c r="C9" i="1"/>
  <c r="B12" i="1"/>
  <c r="W12" i="1" s="1"/>
  <c r="B7" i="2"/>
  <c r="B11" i="2"/>
  <c r="B15" i="6"/>
  <c r="B6" i="8"/>
  <c r="B6" i="7"/>
  <c r="B6" i="5"/>
  <c r="N21" i="1" l="1"/>
  <c r="U16" i="1"/>
  <c r="N16" i="1"/>
  <c r="T9" i="1"/>
  <c r="C16" i="1"/>
  <c r="F16" i="1"/>
  <c r="I16" i="1"/>
  <c r="L16" i="1"/>
  <c r="O16" i="1"/>
  <c r="R16" i="1"/>
  <c r="B20" i="3"/>
  <c r="B21" i="5"/>
  <c r="B22" i="7"/>
  <c r="B21" i="8"/>
  <c r="B27" i="8"/>
  <c r="B6" i="6"/>
  <c r="B6" i="4"/>
  <c r="B6" i="3"/>
  <c r="B22" i="6"/>
  <c r="B12" i="5"/>
  <c r="B7" i="5"/>
  <c r="B13" i="4"/>
  <c r="B23" i="2"/>
  <c r="W27" i="1" l="1"/>
  <c r="X27" i="1"/>
  <c r="B7" i="3" l="1"/>
  <c r="B14" i="2" l="1"/>
  <c r="U21" i="1"/>
  <c r="B9" i="1" l="1"/>
  <c r="Q29" i="1"/>
  <c r="N29" i="1"/>
  <c r="K28" i="1"/>
  <c r="K29" i="1" s="1"/>
  <c r="B15" i="5"/>
  <c r="Q9" i="1" l="1"/>
  <c r="K9" i="1"/>
  <c r="H9" i="1"/>
  <c r="N9" i="1" l="1"/>
  <c r="W9" i="1" s="1"/>
  <c r="B9" i="7" l="1"/>
  <c r="B8" i="5"/>
  <c r="K11" i="1"/>
  <c r="T20" i="1" l="1"/>
  <c r="B28" i="8"/>
  <c r="X26" i="1"/>
  <c r="W26" i="1"/>
  <c r="X28" i="1"/>
  <c r="S28" i="1"/>
  <c r="S26" i="1"/>
  <c r="S9" i="1"/>
  <c r="V9" i="1"/>
  <c r="V29" i="1"/>
  <c r="J29" i="1"/>
  <c r="G19" i="1"/>
  <c r="G20" i="1"/>
  <c r="J19" i="1"/>
  <c r="J20" i="1"/>
  <c r="D28" i="1"/>
  <c r="D26" i="1"/>
  <c r="D19" i="1"/>
  <c r="D20" i="1"/>
  <c r="D9" i="1"/>
  <c r="D12" i="1"/>
  <c r="S27" i="1"/>
  <c r="O29" i="1" l="1"/>
  <c r="C29" i="1"/>
  <c r="X19" i="1"/>
  <c r="X12" i="1"/>
  <c r="Y12" i="1" s="1"/>
  <c r="V26" i="1"/>
  <c r="V27" i="1"/>
  <c r="V28" i="1"/>
  <c r="X10" i="1"/>
  <c r="P26" i="1"/>
  <c r="P28" i="1"/>
  <c r="M26" i="1"/>
  <c r="G26" i="1"/>
  <c r="M28" i="1"/>
  <c r="J9" i="1"/>
  <c r="G28" i="1"/>
  <c r="H10" i="1"/>
  <c r="H16" i="1" s="1"/>
  <c r="J16" i="1" s="1"/>
  <c r="E10" i="1"/>
  <c r="E16" i="1" s="1"/>
  <c r="G16" i="1" s="1"/>
  <c r="E29" i="1"/>
  <c r="J10" i="1" l="1"/>
  <c r="G10" i="1"/>
  <c r="G11" i="1"/>
  <c r="F29" i="1"/>
  <c r="G29" i="1" s="1"/>
  <c r="G27" i="1"/>
  <c r="L29" i="1"/>
  <c r="X20" i="1"/>
  <c r="X11" i="1"/>
  <c r="X13" i="1"/>
  <c r="X16" i="1" l="1"/>
  <c r="X29" i="1"/>
  <c r="Q11" i="1"/>
  <c r="Q16" i="1" s="1"/>
  <c r="S16" i="1" s="1"/>
  <c r="P16" i="1"/>
  <c r="K19" i="1"/>
  <c r="M11" i="1"/>
  <c r="K10" i="1"/>
  <c r="K16" i="1" s="1"/>
  <c r="M16" i="1" s="1"/>
  <c r="B11" i="1"/>
  <c r="B10" i="1"/>
  <c r="W28" i="1"/>
  <c r="Y28" i="1" s="1"/>
  <c r="Y26" i="1"/>
  <c r="M19" i="1" l="1"/>
  <c r="K18" i="1"/>
  <c r="S10" i="1"/>
  <c r="M10" i="1"/>
  <c r="S11" i="1"/>
  <c r="P27" i="1"/>
  <c r="P29" i="1"/>
  <c r="P10" i="1"/>
  <c r="D10" i="1"/>
  <c r="P11" i="1"/>
  <c r="D11" i="1"/>
  <c r="W19" i="1"/>
  <c r="Y19" i="1" s="1"/>
  <c r="B13" i="1"/>
  <c r="B10" i="8"/>
  <c r="B16" i="1" l="1"/>
  <c r="W13" i="1"/>
  <c r="Y13" i="1" s="1"/>
  <c r="D13" i="1"/>
  <c r="T10" i="1"/>
  <c r="T16" i="1" s="1"/>
  <c r="V16" i="1" s="1"/>
  <c r="W16" i="1" l="1"/>
  <c r="Y16" i="1" s="1"/>
  <c r="D16" i="1"/>
  <c r="W10" i="1"/>
  <c r="Y10" i="1" l="1"/>
  <c r="R29" i="1" l="1"/>
  <c r="X18" i="1" l="1"/>
  <c r="X21" i="1" l="1"/>
  <c r="B10" i="7"/>
  <c r="M27" i="1"/>
  <c r="B29" i="1" l="1"/>
  <c r="D27" i="1"/>
  <c r="Y27" i="1"/>
  <c r="W11" i="1"/>
  <c r="Y11" i="1" l="1"/>
  <c r="V20" i="1"/>
  <c r="D29" i="1"/>
  <c r="S29" i="1"/>
  <c r="B16" i="7"/>
  <c r="P18" i="1"/>
  <c r="M29" i="1"/>
  <c r="S18" i="1" l="1"/>
  <c r="B21" i="7"/>
  <c r="W29" i="1"/>
  <c r="Y29" i="1" s="1"/>
  <c r="T21" i="1"/>
  <c r="W20" i="1"/>
  <c r="Y20" i="1" s="1"/>
  <c r="B9" i="5"/>
  <c r="B20" i="5" s="1"/>
  <c r="B14" i="4"/>
  <c r="B9" i="4"/>
  <c r="B14" i="3"/>
  <c r="E18" i="1" s="1"/>
  <c r="B9" i="3"/>
  <c r="B19" i="4" l="1"/>
  <c r="B19" i="3"/>
  <c r="H18" i="1"/>
  <c r="J18" i="1" s="1"/>
  <c r="V21" i="1"/>
  <c r="K21" i="1"/>
  <c r="M18" i="1"/>
  <c r="E21" i="1"/>
  <c r="E24" i="1" s="1"/>
  <c r="G18" i="1"/>
  <c r="E23" i="1" l="1"/>
  <c r="E30" i="1"/>
  <c r="B17" i="2"/>
  <c r="R21" i="1"/>
  <c r="Q21" i="1"/>
  <c r="O21" i="1"/>
  <c r="L21" i="1"/>
  <c r="M21" i="1" s="1"/>
  <c r="I21" i="1"/>
  <c r="H21" i="1"/>
  <c r="F21" i="1"/>
  <c r="G21" i="1" s="1"/>
  <c r="C21" i="1"/>
  <c r="U24" i="1"/>
  <c r="U30" i="1" s="1"/>
  <c r="K24" i="1"/>
  <c r="K30" i="1" s="1"/>
  <c r="K31" i="1" s="1"/>
  <c r="B22" i="2" l="1"/>
  <c r="T23" i="1"/>
  <c r="T24" i="1"/>
  <c r="T30" i="1" s="1"/>
  <c r="T31" i="1" s="1"/>
  <c r="B18" i="1"/>
  <c r="B21" i="1" s="1"/>
  <c r="R23" i="1"/>
  <c r="J21" i="1"/>
  <c r="S21" i="1"/>
  <c r="F23" i="1"/>
  <c r="G23" i="1" s="1"/>
  <c r="U23" i="1"/>
  <c r="L23" i="1"/>
  <c r="L24" i="1"/>
  <c r="I23" i="1"/>
  <c r="I24" i="1"/>
  <c r="I30" i="1" s="1"/>
  <c r="O23" i="1"/>
  <c r="O24" i="1"/>
  <c r="C24" i="1"/>
  <c r="C30" i="1" s="1"/>
  <c r="R24" i="1"/>
  <c r="C23" i="1"/>
  <c r="H23" i="1"/>
  <c r="H24" i="1"/>
  <c r="K23" i="1"/>
  <c r="Q24" i="1"/>
  <c r="H30" i="1" l="1"/>
  <c r="H31" i="1" s="1"/>
  <c r="B23" i="1"/>
  <c r="D23" i="1" s="1"/>
  <c r="B24" i="1"/>
  <c r="B30" i="1" s="1"/>
  <c r="B31" i="1" s="1"/>
  <c r="D18" i="1"/>
  <c r="W18" i="1"/>
  <c r="Y18" i="1" s="1"/>
  <c r="M23" i="1"/>
  <c r="J23" i="1"/>
  <c r="J24" i="1"/>
  <c r="J30" i="1" s="1"/>
  <c r="R30" i="1"/>
  <c r="R31" i="1" s="1"/>
  <c r="S24" i="1"/>
  <c r="U31" i="1"/>
  <c r="V31" i="1" s="1"/>
  <c r="V30" i="1"/>
  <c r="O30" i="1"/>
  <c r="L30" i="1"/>
  <c r="M24" i="1"/>
  <c r="V23" i="1"/>
  <c r="D21" i="1"/>
  <c r="V24" i="1"/>
  <c r="X23" i="1"/>
  <c r="Q23" i="1"/>
  <c r="Q30" i="1" s="1"/>
  <c r="E31" i="1"/>
  <c r="D24" i="1" l="1"/>
  <c r="D30" i="1"/>
  <c r="I31" i="1"/>
  <c r="J31" i="1" s="1"/>
  <c r="S30" i="1"/>
  <c r="O31" i="1"/>
  <c r="L31" i="1"/>
  <c r="M31" i="1" s="1"/>
  <c r="M30" i="1"/>
  <c r="S23" i="1"/>
  <c r="C31" i="1"/>
  <c r="D31" i="1" s="1"/>
  <c r="Q31" i="1"/>
  <c r="S31" i="1" s="1"/>
  <c r="W21" i="1" l="1"/>
  <c r="W23" i="1" s="1"/>
  <c r="P21" i="1"/>
  <c r="N23" i="1"/>
  <c r="P23" i="1" s="1"/>
  <c r="N24" i="1"/>
  <c r="P24" i="1" s="1"/>
  <c r="W24" i="1" l="1"/>
  <c r="Y23" i="1"/>
  <c r="Y21" i="1"/>
  <c r="N30" i="1"/>
  <c r="P30" i="1" l="1"/>
  <c r="N31" i="1"/>
  <c r="P31" i="1" s="1"/>
  <c r="W30" i="1"/>
  <c r="W31" i="1" l="1"/>
  <c r="F24" i="1" l="1"/>
  <c r="X9" i="1"/>
  <c r="Y9" i="1" s="1"/>
  <c r="G9" i="1"/>
  <c r="X24" i="1" l="1"/>
  <c r="Y24" i="1" s="1"/>
  <c r="F30" i="1"/>
  <c r="G24" i="1"/>
  <c r="G30" i="1" l="1"/>
  <c r="F31" i="1"/>
  <c r="G31" i="1" s="1"/>
  <c r="X30" i="1"/>
  <c r="X31" i="1" l="1"/>
  <c r="Y31" i="1" s="1"/>
  <c r="Y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karolina</author>
  </authors>
  <commentList>
    <comment ref="B18" authorId="0" shapeId="0" xr:uid="{181ECDCA-6F16-4D95-B130-19388189BCB5}">
      <text>
        <r>
          <rPr>
            <b/>
            <sz val="9"/>
            <color indexed="81"/>
            <rFont val="Tahoma"/>
            <family val="2"/>
          </rPr>
          <t>karolina:</t>
        </r>
        <r>
          <rPr>
            <sz val="9"/>
            <color indexed="81"/>
            <rFont val="Tahoma"/>
            <family val="2"/>
          </rPr>
          <t xml:space="preserve">
2021: 70 075 kr
2022: 44 213 kr
2023: 55 040 kr, höjd milerer skv</t>
        </r>
      </text>
    </comment>
  </commentList>
</comments>
</file>

<file path=xl/sharedStrings.xml><?xml version="1.0" encoding="utf-8"?>
<sst xmlns="http://schemas.openxmlformats.org/spreadsheetml/2006/main" count="173" uniqueCount="124">
  <si>
    <t>Torkilstötens Samfällighetsförening</t>
  </si>
  <si>
    <t>GA11 Vägar 051</t>
  </si>
  <si>
    <t>GA13 Grönområde</t>
  </si>
  <si>
    <t>Medelmsavgifter</t>
  </si>
  <si>
    <t>Bidrag</t>
  </si>
  <si>
    <t>Summa intäkter</t>
  </si>
  <si>
    <t>Driftkostnader</t>
  </si>
  <si>
    <t>Summa kostnader</t>
  </si>
  <si>
    <t>Summa</t>
  </si>
  <si>
    <t>Avsättning underhållsfond</t>
  </si>
  <si>
    <t>Tillkommande kostn.isrivning m.m</t>
  </si>
  <si>
    <t>Statligtbidrag</t>
  </si>
  <si>
    <t>Summa driftskostnader</t>
  </si>
  <si>
    <t>Admin</t>
  </si>
  <si>
    <t>Övriga löpande</t>
  </si>
  <si>
    <t>Särskilda kostnader</t>
  </si>
  <si>
    <t>GA12 Sopstationer Öjönvägen+Älgen</t>
  </si>
  <si>
    <t>Sophämtning</t>
  </si>
  <si>
    <t>Löpande husen</t>
  </si>
  <si>
    <t>Försäkring</t>
  </si>
  <si>
    <t>GA13 Grönområden</t>
  </si>
  <si>
    <t>Arrendeavtal</t>
  </si>
  <si>
    <t>GA14 Vatten Ö.Skrållan</t>
  </si>
  <si>
    <t>El</t>
  </si>
  <si>
    <t>Övriga drift oförutsedda</t>
  </si>
  <si>
    <t>GA15 Avlopp Övre Skrållan</t>
  </si>
  <si>
    <t>Övrig drift oplanerad</t>
  </si>
  <si>
    <t>GA16 Vatten Rosenbergs Området</t>
  </si>
  <si>
    <t>Administration</t>
  </si>
  <si>
    <t>Föreningsarkiv Jämtland</t>
  </si>
  <si>
    <t>REV</t>
  </si>
  <si>
    <t>Kontorsmat frimärken m.m</t>
  </si>
  <si>
    <t>Föreningshuset</t>
  </si>
  <si>
    <t>Styreslearvode/reseersättning</t>
  </si>
  <si>
    <t xml:space="preserve">Årets resultat </t>
  </si>
  <si>
    <t>Medelmsavgifter drift</t>
  </si>
  <si>
    <t>Medlemsavgift fondering</t>
  </si>
  <si>
    <t>Andelstal 1 för samtliga Fondering</t>
  </si>
  <si>
    <t>Andelstal drift enligt förättning</t>
  </si>
  <si>
    <t>I förrättning 2000-09-15 sid 2, är det beslutat att om man har eget vatten skall andelstalet vara 0,2.</t>
  </si>
  <si>
    <t>Ingående ack.resultat</t>
  </si>
  <si>
    <t>Summa Ack.resultat</t>
  </si>
  <si>
    <t>Summa Ack.Fonderingar</t>
  </si>
  <si>
    <t>Summa ack.resultat</t>
  </si>
  <si>
    <t>Summa ack.fondering</t>
  </si>
  <si>
    <t>Nyttja fondering</t>
  </si>
  <si>
    <t>Fisk till dammarna kostar ca 30 000 kr vartannat år.</t>
  </si>
  <si>
    <t xml:space="preserve">Total antal fastigheter </t>
  </si>
  <si>
    <t xml:space="preserve">Summa intäkter </t>
  </si>
  <si>
    <t>Årets nyttjande av Fondering</t>
  </si>
  <si>
    <t>Ingående resultat</t>
  </si>
  <si>
    <t>Ingående Fonderade medel</t>
  </si>
  <si>
    <t>Medelmsavgift fondering</t>
  </si>
  <si>
    <t>Utgående Fonderade medel:</t>
  </si>
  <si>
    <t xml:space="preserve">GA16 Vattenförsörjning Rosenberg 4st </t>
  </si>
  <si>
    <t xml:space="preserve">GA11 Vägar </t>
  </si>
  <si>
    <t>GA14 Vattenförsörjning Övre Skrållan</t>
  </si>
  <si>
    <t xml:space="preserve">GA15 Avloppsanläggning Övre Skrållan </t>
  </si>
  <si>
    <t>Ack.resultat före omföring till Fondering</t>
  </si>
  <si>
    <t>Summa Eget kapital :</t>
  </si>
  <si>
    <t>Utgående Ack.resultat:</t>
  </si>
  <si>
    <t>Differens</t>
  </si>
  <si>
    <t>Ersättning Fiber</t>
  </si>
  <si>
    <t>Årets budgeterade avsättning till Fondering</t>
  </si>
  <si>
    <t>Hyra årsstämma</t>
  </si>
  <si>
    <t>Korvgrillning vid städdag</t>
  </si>
  <si>
    <t>Bankavgifter</t>
  </si>
  <si>
    <t>Företagspaket</t>
  </si>
  <si>
    <t>Kreditavg</t>
  </si>
  <si>
    <t>Öv bg avg</t>
  </si>
  <si>
    <r>
      <t>GA12 Sopstation (</t>
    </r>
    <r>
      <rPr>
        <sz val="11"/>
        <color theme="1"/>
        <rFont val="Calibri"/>
        <family val="2"/>
        <scheme val="minor"/>
      </rPr>
      <t>hämtning+underhåll)</t>
    </r>
  </si>
  <si>
    <t>Summa bankkostnader</t>
  </si>
  <si>
    <t>Vägunderhåll enl.avtal PG</t>
  </si>
  <si>
    <t xml:space="preserve"> Snöstörssättning upp/isätt</t>
  </si>
  <si>
    <t>Avtal med PG = 7 x 82 000kr</t>
  </si>
  <si>
    <t>Vattenprover, Hjorten+Kommun</t>
  </si>
  <si>
    <t>Vattenprover Hjorten+kommunen</t>
  </si>
  <si>
    <t>Eftersom ingen fondering skall göras så sparas ack.resultat</t>
  </si>
  <si>
    <t>Renovering av huset flyttas fram.</t>
  </si>
  <si>
    <t>Ev.i sättning fisk ink.arb.resa</t>
  </si>
  <si>
    <t>Anläggningen får avändas tom 251031 i befintligt skick.</t>
  </si>
  <si>
    <t>252.21</t>
  </si>
  <si>
    <t>262.4</t>
  </si>
  <si>
    <t>321.25</t>
  </si>
  <si>
    <t>249.2</t>
  </si>
  <si>
    <t>30.8</t>
  </si>
  <si>
    <t>6.2</t>
  </si>
  <si>
    <t>Utfall GA12 2024-12-31</t>
  </si>
  <si>
    <t>Utfall GA13 2024-12-31</t>
  </si>
  <si>
    <t>Utfall GA14 2024-12-31</t>
  </si>
  <si>
    <t>UtfallGA15 2024-12-31</t>
  </si>
  <si>
    <t>Utfall GA16 2024-12-31</t>
  </si>
  <si>
    <t>Utfall Adm. 2024-12-31</t>
  </si>
  <si>
    <t>Utfall total 2024-12-31</t>
  </si>
  <si>
    <t>104500x7 inkl moms och maskinentr index (2%)</t>
  </si>
  <si>
    <t>bidrag skidföreningen</t>
  </si>
  <si>
    <t>2025 budget för fisk</t>
  </si>
  <si>
    <t>Upprustning pump och larm enl.offert</t>
  </si>
  <si>
    <t>Medelmsavgifter fondering</t>
  </si>
  <si>
    <t>Extra utdebitering</t>
  </si>
  <si>
    <t>Drift</t>
  </si>
  <si>
    <t>helår</t>
  </si>
  <si>
    <t>Utfall GA11 2024-12-31</t>
  </si>
  <si>
    <t xml:space="preserve">Resultat budget 2025 </t>
  </si>
  <si>
    <t>extra debitering</t>
  </si>
  <si>
    <t>teams</t>
  </si>
  <si>
    <t>doc tech</t>
  </si>
  <si>
    <t>fortnox</t>
  </si>
  <si>
    <t>* Lilla redovisningspaketet 12*1499kr + Faktureringstjänst utskick som tidigare 40 000kr</t>
  </si>
  <si>
    <t>höjning avg 7500 kr</t>
  </si>
  <si>
    <t>Ränta</t>
  </si>
  <si>
    <t>Bokslut 2024 och Budget 2025</t>
  </si>
  <si>
    <t>oförändrad avg</t>
  </si>
  <si>
    <t>ökad fondering 10200</t>
  </si>
  <si>
    <t>Medlemsavgifter</t>
  </si>
  <si>
    <t>oförändrad avgift</t>
  </si>
  <si>
    <t>extra engångsavg</t>
  </si>
  <si>
    <t>ökad avg 10 000 kr</t>
  </si>
  <si>
    <t>Ny anläggning</t>
  </si>
  <si>
    <t>Driftavtal</t>
  </si>
  <si>
    <t>Fiber</t>
  </si>
  <si>
    <t xml:space="preserve">De 7 fastigheterna ska dela på investering om 910000 kr dvs 130 000 vardera </t>
  </si>
  <si>
    <t>2025 skall endast reparation göras av pumpen göras</t>
  </si>
  <si>
    <t>99464+ 89807 ( skattepengar ) 1899272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</si>
</sst>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_-* #,##0.00\ _k_r_-;\-* #,##0.00\ _k_r_-;_-* &quot;-&quot;??\ _k_r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 applyAlignment="1">
      <alignment wrapText="1"/>
    </xf>
    <xf numFmtId="3" fontId="0" fillId="0" borderId="3" xfId="0" applyNumberFormat="1" applyBorder="1"/>
    <xf numFmtId="0" fontId="0" fillId="0" borderId="3" xfId="0" applyBorder="1"/>
    <xf numFmtId="0" fontId="0" fillId="2" borderId="0" xfId="0" applyFill="1"/>
    <xf numFmtId="3" fontId="1" fillId="0" borderId="3" xfId="0" applyNumberFormat="1" applyFont="1" applyBorder="1"/>
    <xf numFmtId="0" fontId="1" fillId="2" borderId="5" xfId="0" applyFont="1" applyFill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7" xfId="0" applyFont="1" applyFill="1" applyBorder="1"/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1" fillId="0" borderId="3" xfId="0" applyFont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8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10" xfId="0" applyFont="1" applyFill="1" applyBorder="1"/>
    <xf numFmtId="0" fontId="2" fillId="2" borderId="8" xfId="0" applyFont="1" applyFill="1" applyBorder="1" applyAlignment="1">
      <alignment vertical="center"/>
    </xf>
    <xf numFmtId="3" fontId="1" fillId="0" borderId="0" xfId="0" applyNumberFormat="1" applyFont="1"/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4" xfId="0" applyFill="1" applyBorder="1" applyAlignment="1">
      <alignment horizontal="right" vertical="top" wrapText="1"/>
    </xf>
    <xf numFmtId="0" fontId="0" fillId="3" borderId="3" xfId="0" applyFill="1" applyBorder="1" applyAlignment="1">
      <alignment horizontal="right" vertical="top" wrapText="1"/>
    </xf>
    <xf numFmtId="0" fontId="0" fillId="2" borderId="3" xfId="0" applyFill="1" applyBorder="1" applyAlignment="1">
      <alignment horizontal="right" vertical="top" wrapText="1"/>
    </xf>
    <xf numFmtId="0" fontId="0" fillId="2" borderId="3" xfId="0" applyFill="1" applyBorder="1" applyAlignment="1">
      <alignment horizontal="right" vertical="top"/>
    </xf>
    <xf numFmtId="0" fontId="1" fillId="3" borderId="4" xfId="0" applyFont="1" applyFill="1" applyBorder="1" applyAlignment="1">
      <alignment vertical="top" wrapText="1"/>
    </xf>
    <xf numFmtId="0" fontId="0" fillId="2" borderId="8" xfId="0" applyFill="1" applyBorder="1"/>
    <xf numFmtId="0" fontId="0" fillId="2" borderId="9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0" fillId="3" borderId="8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2" xfId="0" applyFill="1" applyBorder="1" applyAlignment="1">
      <alignment wrapText="1"/>
    </xf>
    <xf numFmtId="0" fontId="0" fillId="2" borderId="3" xfId="0" applyFill="1" applyBorder="1"/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wrapText="1"/>
    </xf>
    <xf numFmtId="3" fontId="0" fillId="0" borderId="3" xfId="0" applyNumberFormat="1" applyBorder="1" applyAlignment="1">
      <alignment horizontal="right" wrapText="1"/>
    </xf>
    <xf numFmtId="3" fontId="1" fillId="0" borderId="4" xfId="0" applyNumberFormat="1" applyFont="1" applyBorder="1" applyAlignment="1">
      <alignment wrapText="1"/>
    </xf>
    <xf numFmtId="0" fontId="0" fillId="2" borderId="3" xfId="0" applyFill="1" applyBorder="1" applyAlignment="1">
      <alignment wrapText="1"/>
    </xf>
    <xf numFmtId="3" fontId="0" fillId="0" borderId="4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4" xfId="0" applyBorder="1"/>
    <xf numFmtId="165" fontId="8" fillId="0" borderId="3" xfId="1" applyNumberFormat="1" applyFont="1" applyBorder="1" applyAlignment="1">
      <alignment horizontal="right"/>
    </xf>
    <xf numFmtId="3" fontId="0" fillId="0" borderId="8" xfId="0" applyNumberFormat="1" applyBorder="1"/>
    <xf numFmtId="3" fontId="0" fillId="4" borderId="3" xfId="0" applyNumberFormat="1" applyFill="1" applyBorder="1"/>
    <xf numFmtId="3" fontId="0" fillId="4" borderId="10" xfId="0" applyNumberFormat="1" applyFill="1" applyBorder="1"/>
    <xf numFmtId="3" fontId="0" fillId="0" borderId="0" xfId="0" applyNumberFormat="1" applyAlignment="1">
      <alignment horizontal="right"/>
    </xf>
    <xf numFmtId="43" fontId="0" fillId="0" borderId="0" xfId="1" applyFont="1"/>
    <xf numFmtId="166" fontId="0" fillId="0" borderId="0" xfId="0" applyNumberFormat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3" fontId="1" fillId="0" borderId="12" xfId="0" applyNumberFormat="1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6" fillId="0" borderId="0" xfId="0" applyFont="1"/>
    <xf numFmtId="165" fontId="0" fillId="0" borderId="0" xfId="1" applyNumberFormat="1" applyFont="1"/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165" fontId="0" fillId="0" borderId="0" xfId="1" applyNumberFormat="1" applyFont="1" applyBorder="1"/>
    <xf numFmtId="165" fontId="6" fillId="0" borderId="0" xfId="1" applyNumberFormat="1" applyFont="1" applyBorder="1"/>
    <xf numFmtId="0" fontId="1" fillId="0" borderId="5" xfId="0" applyFont="1" applyBorder="1"/>
    <xf numFmtId="0" fontId="1" fillId="0" borderId="13" xfId="0" applyFont="1" applyBorder="1"/>
    <xf numFmtId="165" fontId="1" fillId="0" borderId="2" xfId="1" applyNumberFormat="1" applyFont="1" applyBorder="1"/>
    <xf numFmtId="0" fontId="0" fillId="3" borderId="5" xfId="0" applyFill="1" applyBorder="1"/>
    <xf numFmtId="0" fontId="0" fillId="3" borderId="13" xfId="0" applyFill="1" applyBorder="1"/>
    <xf numFmtId="0" fontId="0" fillId="3" borderId="2" xfId="0" applyFill="1" applyBorder="1"/>
    <xf numFmtId="3" fontId="6" fillId="0" borderId="3" xfId="0" applyNumberFormat="1" applyFont="1" applyBorder="1"/>
    <xf numFmtId="165" fontId="0" fillId="0" borderId="0" xfId="0" applyNumberFormat="1"/>
    <xf numFmtId="0" fontId="6" fillId="2" borderId="0" xfId="0" applyFont="1" applyFill="1"/>
    <xf numFmtId="0" fontId="1" fillId="0" borderId="0" xfId="0" applyFont="1"/>
    <xf numFmtId="3" fontId="5" fillId="0" borderId="3" xfId="0" applyNumberFormat="1" applyFont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0" fontId="7" fillId="0" borderId="0" xfId="0" applyFont="1"/>
    <xf numFmtId="165" fontId="7" fillId="0" borderId="0" xfId="1" applyNumberFormat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" fillId="5" borderId="11" xfId="0" applyNumberFormat="1" applyFont="1" applyFill="1" applyBorder="1" applyAlignment="1">
      <alignment horizontal="right"/>
    </xf>
    <xf numFmtId="3" fontId="0" fillId="5" borderId="6" xfId="0" applyNumberFormat="1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3" fontId="1" fillId="5" borderId="8" xfId="0" applyNumberFormat="1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3" fontId="1" fillId="5" borderId="9" xfId="0" applyNumberFormat="1" applyFont="1" applyFill="1" applyBorder="1" applyAlignment="1">
      <alignment horizontal="right"/>
    </xf>
    <xf numFmtId="3" fontId="0" fillId="5" borderId="8" xfId="0" applyNumberFormat="1" applyFill="1" applyBorder="1"/>
    <xf numFmtId="3" fontId="1" fillId="5" borderId="0" xfId="0" applyNumberFormat="1" applyFont="1" applyFill="1" applyAlignment="1">
      <alignment horizontal="right"/>
    </xf>
    <xf numFmtId="3" fontId="0" fillId="5" borderId="7" xfId="0" applyNumberFormat="1" applyFill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3" fontId="1" fillId="5" borderId="3" xfId="0" applyNumberFormat="1" applyFont="1" applyFill="1" applyBorder="1" applyAlignment="1">
      <alignment horizontal="right"/>
    </xf>
    <xf numFmtId="3" fontId="5" fillId="5" borderId="0" xfId="0" applyNumberFormat="1" applyFont="1" applyFill="1" applyAlignment="1">
      <alignment horizontal="right"/>
    </xf>
    <xf numFmtId="3" fontId="1" fillId="5" borderId="4" xfId="0" applyNumberFormat="1" applyFont="1" applyFill="1" applyBorder="1" applyAlignment="1">
      <alignment horizontal="right"/>
    </xf>
    <xf numFmtId="3" fontId="0" fillId="5" borderId="3" xfId="0" applyNumberFormat="1" applyFill="1" applyBorder="1"/>
    <xf numFmtId="3" fontId="1" fillId="5" borderId="10" xfId="0" applyNumberFormat="1" applyFont="1" applyFill="1" applyBorder="1"/>
    <xf numFmtId="3" fontId="7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wrapText="1"/>
    </xf>
    <xf numFmtId="3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3" fontId="9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9" fillId="0" borderId="4" xfId="0" applyNumberFormat="1" applyFont="1" applyBorder="1"/>
    <xf numFmtId="3" fontId="1" fillId="0" borderId="4" xfId="0" applyNumberFormat="1" applyFont="1" applyBorder="1"/>
    <xf numFmtId="3" fontId="9" fillId="5" borderId="3" xfId="0" applyNumberFormat="1" applyFont="1" applyFill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FE98-436C-4188-AB74-1085FBC85743}">
  <sheetPr>
    <pageSetUpPr fitToPage="1"/>
  </sheetPr>
  <dimension ref="A1:AI40"/>
  <sheetViews>
    <sheetView tabSelected="1" topLeftCell="A10" zoomScale="84" zoomScaleNormal="84" workbookViewId="0">
      <pane xSplit="1" topLeftCell="E1" activePane="topRight" state="frozen"/>
      <selection activeCell="A4" sqref="A4"/>
      <selection pane="topRight" activeCell="A33" sqref="A33:XFD33"/>
    </sheetView>
  </sheetViews>
  <sheetFormatPr defaultRowHeight="14.4" outlineLevelRow="1" x14ac:dyDescent="0.3"/>
  <cols>
    <col min="1" max="1" width="41.44140625" customWidth="1"/>
    <col min="2" max="2" width="14.44140625" style="41" bestFit="1" customWidth="1"/>
    <col min="3" max="3" width="14.33203125" style="41" customWidth="1"/>
    <col min="4" max="4" width="9.33203125" style="41" hidden="1" customWidth="1"/>
    <col min="5" max="5" width="14.44140625" style="41" customWidth="1"/>
    <col min="6" max="6" width="13.109375" style="41" customWidth="1"/>
    <col min="7" max="7" width="9.33203125" style="41" hidden="1" customWidth="1"/>
    <col min="8" max="8" width="13" style="41" customWidth="1"/>
    <col min="9" max="9" width="12.88671875" style="41" customWidth="1"/>
    <col min="10" max="10" width="7.6640625" style="41" hidden="1" customWidth="1"/>
    <col min="11" max="11" width="14" style="41" customWidth="1"/>
    <col min="12" max="12" width="13.44140625" style="41" customWidth="1"/>
    <col min="13" max="13" width="9.6640625" style="41" hidden="1" customWidth="1"/>
    <col min="14" max="14" width="13.33203125" style="41" customWidth="1"/>
    <col min="15" max="15" width="12.5546875" style="41" customWidth="1"/>
    <col min="16" max="16" width="7" style="41" hidden="1" customWidth="1"/>
    <col min="17" max="17" width="13" style="41" customWidth="1"/>
    <col min="18" max="18" width="14.5546875" style="41" customWidth="1"/>
    <col min="19" max="19" width="7.5546875" style="41" hidden="1" customWidth="1"/>
    <col min="20" max="20" width="14.88671875" style="41" customWidth="1"/>
    <col min="21" max="21" width="15.33203125" style="41" customWidth="1"/>
    <col min="22" max="22" width="8" style="41" hidden="1" customWidth="1"/>
    <col min="23" max="23" width="15.44140625" style="41" customWidth="1"/>
    <col min="24" max="24" width="15.109375" customWidth="1"/>
    <col min="25" max="25" width="9.5546875" hidden="1" customWidth="1"/>
    <col min="27" max="27" width="15.109375" bestFit="1" customWidth="1"/>
  </cols>
  <sheetData>
    <row r="1" spans="1:35" ht="18" x14ac:dyDescent="0.35">
      <c r="A1" s="1" t="s">
        <v>0</v>
      </c>
    </row>
    <row r="2" spans="1:35" ht="18" x14ac:dyDescent="0.35">
      <c r="A2" s="1"/>
    </row>
    <row r="3" spans="1:35" x14ac:dyDescent="0.3">
      <c r="A3" s="108"/>
    </row>
    <row r="4" spans="1:35" ht="77.25" customHeight="1" x14ac:dyDescent="0.3">
      <c r="A4" s="37" t="s">
        <v>111</v>
      </c>
      <c r="B4" s="31" t="s">
        <v>55</v>
      </c>
      <c r="C4" s="42" t="s">
        <v>102</v>
      </c>
      <c r="D4" s="42" t="s">
        <v>61</v>
      </c>
      <c r="E4" s="11" t="s">
        <v>70</v>
      </c>
      <c r="F4" s="42" t="s">
        <v>87</v>
      </c>
      <c r="G4" s="42" t="s">
        <v>61</v>
      </c>
      <c r="H4" s="11" t="s">
        <v>2</v>
      </c>
      <c r="I4" s="42" t="s">
        <v>88</v>
      </c>
      <c r="J4" s="42" t="s">
        <v>61</v>
      </c>
      <c r="K4" s="11" t="s">
        <v>56</v>
      </c>
      <c r="L4" s="42" t="s">
        <v>89</v>
      </c>
      <c r="M4" s="42" t="s">
        <v>61</v>
      </c>
      <c r="N4" s="11" t="s">
        <v>57</v>
      </c>
      <c r="O4" s="42" t="s">
        <v>90</v>
      </c>
      <c r="P4" s="42" t="s">
        <v>61</v>
      </c>
      <c r="Q4" s="11" t="s">
        <v>54</v>
      </c>
      <c r="R4" s="42" t="s">
        <v>91</v>
      </c>
      <c r="S4" s="42" t="s">
        <v>61</v>
      </c>
      <c r="T4" s="32" t="s">
        <v>28</v>
      </c>
      <c r="U4" s="42" t="s">
        <v>92</v>
      </c>
      <c r="V4" s="42" t="s">
        <v>61</v>
      </c>
      <c r="W4" s="11" t="s">
        <v>103</v>
      </c>
      <c r="X4" s="43" t="s">
        <v>93</v>
      </c>
      <c r="Y4" s="42" t="s">
        <v>61</v>
      </c>
    </row>
    <row r="5" spans="1:35" outlineLevel="1" x14ac:dyDescent="0.3">
      <c r="A5" s="44" t="s">
        <v>47</v>
      </c>
      <c r="B5" s="45">
        <v>314</v>
      </c>
      <c r="C5" s="46"/>
      <c r="D5" s="46"/>
      <c r="E5" s="47">
        <v>321</v>
      </c>
      <c r="F5" s="46"/>
      <c r="G5" s="46"/>
      <c r="H5" s="47">
        <v>292</v>
      </c>
      <c r="I5" s="46"/>
      <c r="J5" s="46"/>
      <c r="K5" s="47">
        <v>42</v>
      </c>
      <c r="L5" s="46"/>
      <c r="M5" s="46"/>
      <c r="N5" s="47">
        <v>7</v>
      </c>
      <c r="O5" s="46"/>
      <c r="P5" s="46"/>
      <c r="Q5" s="47">
        <v>202</v>
      </c>
      <c r="R5" s="46"/>
      <c r="S5" s="46"/>
      <c r="T5" s="48">
        <v>325</v>
      </c>
      <c r="U5" s="46"/>
      <c r="V5" s="46"/>
      <c r="W5" s="47"/>
      <c r="X5" s="49"/>
      <c r="Y5" s="5"/>
      <c r="AB5" s="83"/>
      <c r="AC5" s="83"/>
      <c r="AD5" s="83"/>
      <c r="AE5" s="83"/>
      <c r="AF5" s="83"/>
      <c r="AG5" s="83"/>
      <c r="AH5" s="84"/>
      <c r="AI5" s="83"/>
    </row>
    <row r="6" spans="1:35" outlineLevel="1" x14ac:dyDescent="0.3">
      <c r="A6" s="50" t="s">
        <v>38</v>
      </c>
      <c r="B6" s="51" t="s">
        <v>81</v>
      </c>
      <c r="C6" s="52"/>
      <c r="D6" s="52"/>
      <c r="E6" s="53" t="s">
        <v>82</v>
      </c>
      <c r="F6" s="54"/>
      <c r="G6" s="54"/>
      <c r="H6" s="53" t="s">
        <v>84</v>
      </c>
      <c r="I6" s="52"/>
      <c r="J6" s="52"/>
      <c r="K6" s="53" t="s">
        <v>85</v>
      </c>
      <c r="L6" s="52"/>
      <c r="M6" s="52"/>
      <c r="N6" s="28" t="s">
        <v>86</v>
      </c>
      <c r="O6" s="52"/>
      <c r="P6" s="52"/>
      <c r="Q6" s="28">
        <v>79.8</v>
      </c>
      <c r="R6" s="52"/>
      <c r="S6" s="52"/>
      <c r="T6" s="55">
        <v>325</v>
      </c>
      <c r="U6" s="52"/>
      <c r="V6" s="52"/>
      <c r="W6" s="53"/>
      <c r="X6" s="56"/>
      <c r="Y6" s="5"/>
      <c r="AB6" s="85"/>
      <c r="AC6" s="85"/>
      <c r="AD6" s="85"/>
      <c r="AE6" s="85"/>
      <c r="AF6" s="85"/>
      <c r="AG6" s="86"/>
      <c r="AH6" s="41"/>
      <c r="AI6" s="85"/>
    </row>
    <row r="7" spans="1:35" outlineLevel="1" x14ac:dyDescent="0.3">
      <c r="A7" s="44" t="s">
        <v>37</v>
      </c>
      <c r="B7" s="57">
        <v>314</v>
      </c>
      <c r="C7" s="58"/>
      <c r="D7" s="58"/>
      <c r="E7" s="59" t="s">
        <v>83</v>
      </c>
      <c r="F7" s="60"/>
      <c r="G7" s="60"/>
      <c r="H7" s="59"/>
      <c r="I7" s="58"/>
      <c r="J7" s="58"/>
      <c r="K7" s="59">
        <v>42</v>
      </c>
      <c r="L7" s="58"/>
      <c r="M7" s="58"/>
      <c r="N7" s="59">
        <v>7</v>
      </c>
      <c r="O7" s="58"/>
      <c r="P7" s="58"/>
      <c r="Q7" s="59">
        <v>202</v>
      </c>
      <c r="R7" s="58"/>
      <c r="S7" s="58"/>
      <c r="T7" s="61"/>
      <c r="U7" s="58"/>
      <c r="V7" s="58"/>
      <c r="W7" s="59"/>
      <c r="X7" s="62"/>
      <c r="Y7" s="5"/>
      <c r="AB7" s="85"/>
      <c r="AC7" s="85"/>
      <c r="AD7" s="85"/>
      <c r="AE7" s="85"/>
      <c r="AF7" s="85"/>
      <c r="AG7" s="85"/>
      <c r="AH7" s="41"/>
      <c r="AI7" s="85"/>
    </row>
    <row r="8" spans="1:35" x14ac:dyDescent="0.3">
      <c r="A8" s="63"/>
      <c r="B8" s="64"/>
      <c r="C8" s="65"/>
      <c r="D8" s="65"/>
      <c r="E8" s="65"/>
      <c r="F8" s="66"/>
      <c r="G8" s="6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65"/>
      <c r="V8" s="65"/>
      <c r="W8" s="65"/>
      <c r="X8" s="67"/>
      <c r="Y8" s="5"/>
    </row>
    <row r="9" spans="1:35" x14ac:dyDescent="0.3">
      <c r="A9" s="30" t="s">
        <v>50</v>
      </c>
      <c r="B9" s="139">
        <f>'GA11 Vägar'!B6</f>
        <v>270800</v>
      </c>
      <c r="C9" s="68">
        <f>89807+99465</f>
        <v>189272</v>
      </c>
      <c r="D9" s="68">
        <f>C9-B9</f>
        <v>-81528</v>
      </c>
      <c r="E9" s="138">
        <f>'GA12 Sopstation'!B6</f>
        <v>77509</v>
      </c>
      <c r="F9" s="40">
        <f>-10771+29936</f>
        <v>19165</v>
      </c>
      <c r="G9" s="40">
        <f>F9-E15</f>
        <v>19165</v>
      </c>
      <c r="H9" s="136">
        <f>'GA13 Grönområde'!B6</f>
        <v>46451</v>
      </c>
      <c r="I9" s="40">
        <v>24793</v>
      </c>
      <c r="J9" s="40">
        <f>I9-H9</f>
        <v>-21658</v>
      </c>
      <c r="K9" s="136">
        <f>'GA14 Vatten Ö.Skrållan'!B6</f>
        <v>33731</v>
      </c>
      <c r="L9" s="68">
        <v>12012</v>
      </c>
      <c r="M9" s="68"/>
      <c r="N9" s="137">
        <f>'GA15 Avlopp Ö.Skrållan'!B6</f>
        <v>3720</v>
      </c>
      <c r="O9" s="68">
        <v>1970</v>
      </c>
      <c r="P9" s="68"/>
      <c r="Q9" s="136">
        <f>'GA16 Vatten Rosenberg'!B6</f>
        <v>-815</v>
      </c>
      <c r="R9" s="40">
        <v>4874</v>
      </c>
      <c r="S9" s="26">
        <f>R9-Q9</f>
        <v>5689</v>
      </c>
      <c r="T9" s="135">
        <f>Admin!B6</f>
        <v>22178</v>
      </c>
      <c r="U9" s="40">
        <v>-3878</v>
      </c>
      <c r="V9" s="68">
        <f>U9-T9</f>
        <v>-26056</v>
      </c>
      <c r="W9" s="24">
        <f>B9+E9+H9+K9+N9+Q9+T9</f>
        <v>453574</v>
      </c>
      <c r="X9" s="69">
        <f>C9+F9+I9+L9+O9+R9+U9</f>
        <v>248208</v>
      </c>
      <c r="Y9" s="4">
        <f>X9-W9</f>
        <v>-205366</v>
      </c>
    </row>
    <row r="10" spans="1:35" outlineLevel="1" x14ac:dyDescent="0.3">
      <c r="A10" s="70" t="s">
        <v>35</v>
      </c>
      <c r="B10" s="71">
        <f>'GA11 Vägar'!B7</f>
        <v>825000</v>
      </c>
      <c r="C10" s="72">
        <v>824479</v>
      </c>
      <c r="D10" s="72">
        <f>C10-B10</f>
        <v>-521</v>
      </c>
      <c r="E10" s="72">
        <f>'GA12 Sopstation'!B7</f>
        <v>343750</v>
      </c>
      <c r="F10" s="72">
        <v>342377</v>
      </c>
      <c r="G10" s="72">
        <f>F10-E10</f>
        <v>-1373</v>
      </c>
      <c r="H10" s="72">
        <f>'GA13 Grönområde'!B7</f>
        <v>38700</v>
      </c>
      <c r="I10" s="72">
        <v>38658</v>
      </c>
      <c r="J10" s="72">
        <f>I10-H10</f>
        <v>-42</v>
      </c>
      <c r="K10" s="72">
        <f>'GA14 Vatten Ö.Skrållan'!B7</f>
        <v>37500</v>
      </c>
      <c r="L10" s="72">
        <v>37508</v>
      </c>
      <c r="M10" s="72">
        <f>L10-K10</f>
        <v>8</v>
      </c>
      <c r="N10" s="109">
        <v>30000</v>
      </c>
      <c r="O10" s="66">
        <v>3750</v>
      </c>
      <c r="P10" s="72">
        <f>O10-N10</f>
        <v>-26250</v>
      </c>
      <c r="Q10" s="109">
        <v>41250</v>
      </c>
      <c r="R10" s="72">
        <v>30694</v>
      </c>
      <c r="S10" s="72">
        <f>R10-Q10</f>
        <v>-10556</v>
      </c>
      <c r="T10" s="109">
        <f>Admin!B10</f>
        <v>170000</v>
      </c>
      <c r="U10" s="72">
        <v>164796</v>
      </c>
      <c r="V10" s="72">
        <v>164795</v>
      </c>
      <c r="W10" s="72">
        <f>B10+E10+H10+K10+N10+Q10+T10</f>
        <v>1486200</v>
      </c>
      <c r="X10" s="73">
        <f>C10+F10+I10+L10+O10+R10+U10</f>
        <v>1442262</v>
      </c>
      <c r="Y10" s="4">
        <f t="shared" ref="Y10:Y31" si="0">X10-W10</f>
        <v>-43938</v>
      </c>
      <c r="AA10" s="81"/>
    </row>
    <row r="11" spans="1:35" outlineLevel="1" x14ac:dyDescent="0.3">
      <c r="A11" s="70" t="s">
        <v>36</v>
      </c>
      <c r="B11" s="71">
        <f>'GA11 Vägar'!B8</f>
        <v>100000</v>
      </c>
      <c r="C11" s="109">
        <v>100000</v>
      </c>
      <c r="D11" s="72">
        <f t="shared" ref="D11:D16" si="1">C11-B11</f>
        <v>0</v>
      </c>
      <c r="E11" s="109">
        <v>20400</v>
      </c>
      <c r="F11" s="109">
        <v>10200</v>
      </c>
      <c r="G11" s="72">
        <f t="shared" ref="G11:G28" si="2">F11-E11</f>
        <v>-10200</v>
      </c>
      <c r="H11" s="72"/>
      <c r="I11" s="66"/>
      <c r="J11" s="66"/>
      <c r="K11" s="72">
        <f>'GA14 Vatten Ö.Skrållan'!B8</f>
        <v>25000</v>
      </c>
      <c r="L11" s="109">
        <v>25000</v>
      </c>
      <c r="M11" s="72">
        <f t="shared" ref="M11:M28" si="3">L11-K11</f>
        <v>0</v>
      </c>
      <c r="N11" s="109">
        <v>6000</v>
      </c>
      <c r="O11" s="109">
        <v>6000</v>
      </c>
      <c r="P11" s="72">
        <f t="shared" ref="P11:P28" si="4">O11-N11</f>
        <v>0</v>
      </c>
      <c r="Q11" s="72">
        <f>'GA16 Vatten Rosenberg'!B9</f>
        <v>1578</v>
      </c>
      <c r="R11" s="109">
        <v>1578</v>
      </c>
      <c r="S11" s="72">
        <f>R11-Q11</f>
        <v>0</v>
      </c>
      <c r="T11" s="72"/>
      <c r="U11" s="72"/>
      <c r="V11" s="72"/>
      <c r="W11" s="72">
        <f t="shared" ref="W11:X13" si="5">B11+E11+H11+K11+N11+Q11+T11</f>
        <v>152978</v>
      </c>
      <c r="X11" s="73">
        <f t="shared" si="5"/>
        <v>142778</v>
      </c>
      <c r="Y11" s="4">
        <f t="shared" si="0"/>
        <v>-10200</v>
      </c>
      <c r="Z11" s="93"/>
      <c r="AA11" s="81"/>
    </row>
    <row r="12" spans="1:35" outlineLevel="1" x14ac:dyDescent="0.3">
      <c r="A12" s="70" t="s">
        <v>62</v>
      </c>
      <c r="B12" s="71">
        <f>'GA11 Vägar'!B10</f>
        <v>24000</v>
      </c>
      <c r="C12" s="72">
        <v>23413</v>
      </c>
      <c r="D12" s="72">
        <f t="shared" si="1"/>
        <v>-587</v>
      </c>
      <c r="E12" s="72"/>
      <c r="F12" s="72"/>
      <c r="G12" s="72"/>
      <c r="H12" s="72"/>
      <c r="I12" s="66"/>
      <c r="J12" s="66"/>
      <c r="K12" s="72"/>
      <c r="L12" s="66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>
        <f>B12</f>
        <v>24000</v>
      </c>
      <c r="X12" s="73">
        <f t="shared" si="5"/>
        <v>23413</v>
      </c>
      <c r="Y12" s="4">
        <f t="shared" si="0"/>
        <v>-587</v>
      </c>
      <c r="AA12" s="81"/>
    </row>
    <row r="13" spans="1:35" outlineLevel="1" x14ac:dyDescent="0.3">
      <c r="A13" s="63" t="s">
        <v>4</v>
      </c>
      <c r="B13" s="71">
        <f>'GA11 Vägar'!B9</f>
        <v>67000</v>
      </c>
      <c r="C13" s="72">
        <v>67549</v>
      </c>
      <c r="D13" s="72">
        <f t="shared" si="1"/>
        <v>549</v>
      </c>
      <c r="E13" s="66"/>
      <c r="F13" s="66"/>
      <c r="G13" s="72"/>
      <c r="H13" s="66"/>
      <c r="I13" s="66"/>
      <c r="J13" s="66"/>
      <c r="K13" s="66"/>
      <c r="L13" s="66"/>
      <c r="M13" s="72"/>
      <c r="N13" s="66"/>
      <c r="O13" s="66"/>
      <c r="P13" s="72"/>
      <c r="Q13" s="66"/>
      <c r="R13" s="66"/>
      <c r="S13" s="66"/>
      <c r="T13" s="66"/>
      <c r="U13" s="72"/>
      <c r="V13" s="72"/>
      <c r="W13" s="72">
        <f>B13+E13+H13+K13+N13+Q13+T13</f>
        <v>67000</v>
      </c>
      <c r="X13" s="73">
        <f t="shared" si="5"/>
        <v>67549</v>
      </c>
      <c r="Y13" s="4">
        <f t="shared" si="0"/>
        <v>549</v>
      </c>
      <c r="AA13" s="82"/>
    </row>
    <row r="14" spans="1:35" outlineLevel="1" x14ac:dyDescent="0.3">
      <c r="A14" s="63" t="s">
        <v>110</v>
      </c>
      <c r="B14" s="71"/>
      <c r="C14" s="72"/>
      <c r="D14" s="72"/>
      <c r="E14" s="66"/>
      <c r="F14" s="66"/>
      <c r="G14" s="72"/>
      <c r="H14" s="66"/>
      <c r="I14" s="66"/>
      <c r="J14" s="66"/>
      <c r="K14" s="66"/>
      <c r="L14" s="66"/>
      <c r="M14" s="72"/>
      <c r="N14" s="66"/>
      <c r="O14" s="66"/>
      <c r="P14" s="72"/>
      <c r="Q14" s="66"/>
      <c r="R14" s="66"/>
      <c r="S14" s="66"/>
      <c r="T14" s="66"/>
      <c r="U14" s="72">
        <v>15357</v>
      </c>
      <c r="V14" s="72"/>
      <c r="W14" s="72"/>
      <c r="X14" s="73"/>
      <c r="Y14" s="4"/>
      <c r="AA14" s="82"/>
    </row>
    <row r="15" spans="1:35" x14ac:dyDescent="0.3">
      <c r="A15" s="30" t="s">
        <v>104</v>
      </c>
      <c r="B15" s="21"/>
      <c r="C15" s="65"/>
      <c r="D15" s="65"/>
      <c r="E15" s="134"/>
      <c r="F15" s="66"/>
      <c r="G15" s="66"/>
      <c r="H15" s="24"/>
      <c r="I15" s="65"/>
      <c r="J15" s="65"/>
      <c r="K15" s="24"/>
      <c r="L15" s="65"/>
      <c r="M15" s="65"/>
      <c r="N15" s="24">
        <v>910000</v>
      </c>
      <c r="O15" s="65"/>
      <c r="P15" s="65"/>
      <c r="Q15" s="27"/>
      <c r="R15" s="65"/>
      <c r="S15" s="65"/>
      <c r="T15" s="29"/>
      <c r="U15" s="65"/>
      <c r="V15" s="65"/>
      <c r="W15" s="24"/>
      <c r="X15" s="67"/>
      <c r="Y15" s="4"/>
    </row>
    <row r="16" spans="1:35" x14ac:dyDescent="0.3">
      <c r="A16" s="30" t="s">
        <v>48</v>
      </c>
      <c r="B16" s="22">
        <f>SUM(B10:B13)</f>
        <v>1016000</v>
      </c>
      <c r="C16" s="72">
        <f t="shared" ref="C16:T16" si="6">SUM(C10:C13)</f>
        <v>1015441</v>
      </c>
      <c r="D16" s="72">
        <f t="shared" si="1"/>
        <v>-559</v>
      </c>
      <c r="E16" s="25">
        <f>SUM(E10:E13)</f>
        <v>364150</v>
      </c>
      <c r="F16" s="72">
        <f t="shared" si="6"/>
        <v>352577</v>
      </c>
      <c r="G16" s="72">
        <f t="shared" si="2"/>
        <v>-11573</v>
      </c>
      <c r="H16" s="25">
        <f t="shared" si="6"/>
        <v>38700</v>
      </c>
      <c r="I16" s="72">
        <f t="shared" si="6"/>
        <v>38658</v>
      </c>
      <c r="J16" s="72">
        <f>I16-H16</f>
        <v>-42</v>
      </c>
      <c r="K16" s="25">
        <f t="shared" si="6"/>
        <v>62500</v>
      </c>
      <c r="L16" s="72">
        <f t="shared" si="6"/>
        <v>62508</v>
      </c>
      <c r="M16" s="72">
        <f t="shared" si="3"/>
        <v>8</v>
      </c>
      <c r="N16" s="25">
        <f>SUM(N10:N15)</f>
        <v>946000</v>
      </c>
      <c r="O16" s="72">
        <f t="shared" si="6"/>
        <v>9750</v>
      </c>
      <c r="P16" s="72">
        <f t="shared" si="4"/>
        <v>-936250</v>
      </c>
      <c r="Q16" s="25">
        <f>SUM(Q10:Q13)</f>
        <v>42828</v>
      </c>
      <c r="R16" s="72">
        <f t="shared" si="6"/>
        <v>32272</v>
      </c>
      <c r="S16" s="72">
        <f>R16-Q16</f>
        <v>-10556</v>
      </c>
      <c r="T16" s="25">
        <f t="shared" si="6"/>
        <v>170000</v>
      </c>
      <c r="U16" s="72">
        <f>SUM(U10:U15)</f>
        <v>180153</v>
      </c>
      <c r="V16" s="72">
        <f t="shared" ref="V16:V28" si="7">U16-T16</f>
        <v>10153</v>
      </c>
      <c r="W16" s="25">
        <f>B16+E16+H16+K16+N16+Q16+T16+W15</f>
        <v>2640178</v>
      </c>
      <c r="X16" s="140">
        <f>SUM(X10:X13)</f>
        <v>1676002</v>
      </c>
      <c r="Y16" s="4">
        <f t="shared" si="0"/>
        <v>-964176</v>
      </c>
    </row>
    <row r="17" spans="1:27" x14ac:dyDescent="0.3">
      <c r="A17" s="30"/>
      <c r="B17" s="74"/>
      <c r="C17" s="66"/>
      <c r="D17" s="66"/>
      <c r="E17" s="66"/>
      <c r="F17" s="66"/>
      <c r="G17" s="72"/>
      <c r="H17" s="66"/>
      <c r="I17" s="66"/>
      <c r="J17" s="66"/>
      <c r="K17" s="66"/>
      <c r="L17" s="66"/>
      <c r="M17" s="72"/>
      <c r="N17" s="72"/>
      <c r="O17" s="66"/>
      <c r="P17" s="72"/>
      <c r="Q17" s="66"/>
      <c r="R17" s="66"/>
      <c r="S17" s="66"/>
      <c r="T17" s="66"/>
      <c r="U17" s="66"/>
      <c r="V17" s="72"/>
      <c r="W17" s="72"/>
      <c r="X17" s="75"/>
      <c r="Y17" s="4"/>
    </row>
    <row r="18" spans="1:27" outlineLevel="1" x14ac:dyDescent="0.3">
      <c r="A18" s="63" t="s">
        <v>6</v>
      </c>
      <c r="B18" s="71">
        <f>'GA11 Vägar'!B17</f>
        <v>939500</v>
      </c>
      <c r="C18" s="72">
        <v>833913</v>
      </c>
      <c r="D18" s="72">
        <f>C18-B18</f>
        <v>-105587</v>
      </c>
      <c r="E18" s="72">
        <f>'GA12 Sopstation'!B14</f>
        <v>333000</v>
      </c>
      <c r="F18" s="72">
        <v>284033</v>
      </c>
      <c r="G18" s="72">
        <f t="shared" si="2"/>
        <v>-48967</v>
      </c>
      <c r="H18" s="72">
        <f>'GA13 Grönområde'!B14</f>
        <v>46000</v>
      </c>
      <c r="I18" s="72">
        <v>17000</v>
      </c>
      <c r="J18" s="72">
        <f>I18-H18</f>
        <v>-29000</v>
      </c>
      <c r="K18" s="72">
        <f>'GA14 Vatten Ö.Skrållan'!B15-K19</f>
        <v>26000</v>
      </c>
      <c r="L18" s="72">
        <v>15789</v>
      </c>
      <c r="M18" s="72">
        <f t="shared" si="3"/>
        <v>-10211</v>
      </c>
      <c r="N18" s="72">
        <v>30000</v>
      </c>
      <c r="O18" s="72">
        <v>2000</v>
      </c>
      <c r="P18" s="72">
        <f t="shared" si="4"/>
        <v>-28000</v>
      </c>
      <c r="Q18" s="72">
        <v>40800</v>
      </c>
      <c r="R18" s="72">
        <v>36383</v>
      </c>
      <c r="S18" s="72">
        <f>R18-Q18</f>
        <v>-4417</v>
      </c>
      <c r="T18" s="72"/>
      <c r="U18" s="66"/>
      <c r="V18" s="72"/>
      <c r="W18" s="72">
        <f>B18+E18+H18+K18+N18+Q18+T18</f>
        <v>1415300</v>
      </c>
      <c r="X18" s="73">
        <f>C18+F18+I18+L18+O18+R18+U18</f>
        <v>1189118</v>
      </c>
      <c r="Y18" s="4">
        <f t="shared" si="0"/>
        <v>-226182</v>
      </c>
    </row>
    <row r="19" spans="1:27" outlineLevel="1" x14ac:dyDescent="0.3">
      <c r="A19" s="63" t="s">
        <v>15</v>
      </c>
      <c r="B19" s="71"/>
      <c r="C19" s="72"/>
      <c r="D19" s="72">
        <f t="shared" ref="D19:D20" si="8">C19-B19</f>
        <v>0</v>
      </c>
      <c r="E19" s="66"/>
      <c r="F19" s="66"/>
      <c r="G19" s="72">
        <f t="shared" si="2"/>
        <v>0</v>
      </c>
      <c r="H19" s="66"/>
      <c r="I19" s="72"/>
      <c r="J19" s="72">
        <f t="shared" ref="J19:J21" si="9">I19-H19</f>
        <v>0</v>
      </c>
      <c r="K19" s="72">
        <f>'GA14 Vatten Ö.Skrållan'!B11</f>
        <v>75000</v>
      </c>
      <c r="L19" s="66">
        <v>0</v>
      </c>
      <c r="M19" s="72">
        <f t="shared" si="3"/>
        <v>-75000</v>
      </c>
      <c r="N19" s="72">
        <v>910000</v>
      </c>
      <c r="O19" s="66"/>
      <c r="P19" s="72"/>
      <c r="Q19" s="66"/>
      <c r="R19" s="66"/>
      <c r="S19" s="66"/>
      <c r="T19" s="66"/>
      <c r="U19" s="66"/>
      <c r="V19" s="72"/>
      <c r="W19" s="72">
        <f>B19+E19+H19+K19+N19+Q19+T19</f>
        <v>985000</v>
      </c>
      <c r="X19" s="73">
        <f>C19+F19+I19+L19+O19+R19+U19</f>
        <v>0</v>
      </c>
      <c r="Y19" s="4">
        <f t="shared" si="0"/>
        <v>-985000</v>
      </c>
    </row>
    <row r="20" spans="1:27" outlineLevel="1" x14ac:dyDescent="0.3">
      <c r="A20" s="63" t="s">
        <v>13</v>
      </c>
      <c r="B20" s="71"/>
      <c r="C20" s="66"/>
      <c r="D20" s="72">
        <f t="shared" si="8"/>
        <v>0</v>
      </c>
      <c r="E20" s="66"/>
      <c r="F20" s="66"/>
      <c r="G20" s="72">
        <f t="shared" si="2"/>
        <v>0</v>
      </c>
      <c r="H20" s="66"/>
      <c r="I20" s="66"/>
      <c r="J20" s="72">
        <f t="shared" si="9"/>
        <v>0</v>
      </c>
      <c r="K20" s="72"/>
      <c r="L20" s="66"/>
      <c r="M20" s="72"/>
      <c r="N20" s="66"/>
      <c r="O20" s="66"/>
      <c r="P20" s="72"/>
      <c r="Q20" s="66"/>
      <c r="R20" s="66"/>
      <c r="S20" s="66"/>
      <c r="T20" s="72">
        <f>Admin!B21+Admin!B27</f>
        <v>170000</v>
      </c>
      <c r="U20" s="72">
        <v>154097</v>
      </c>
      <c r="V20" s="72">
        <f t="shared" si="7"/>
        <v>-15903</v>
      </c>
      <c r="W20" s="72">
        <f>B20+E20+H20+K20+N20+Q20+T20</f>
        <v>170000</v>
      </c>
      <c r="X20" s="73">
        <f>U20</f>
        <v>154097</v>
      </c>
      <c r="Y20" s="4">
        <f t="shared" si="0"/>
        <v>-15903</v>
      </c>
    </row>
    <row r="21" spans="1:27" x14ac:dyDescent="0.3">
      <c r="A21" s="30" t="s">
        <v>7</v>
      </c>
      <c r="B21" s="22">
        <f>SUM(B18:B19)</f>
        <v>939500</v>
      </c>
      <c r="C21" s="72">
        <f>SUM(C18:C19)</f>
        <v>833913</v>
      </c>
      <c r="D21" s="72">
        <f>C21-B21</f>
        <v>-105587</v>
      </c>
      <c r="E21" s="25">
        <f>SUM(E18:E20)</f>
        <v>333000</v>
      </c>
      <c r="F21" s="72">
        <f t="shared" ref="F21:R21" si="10">SUM(F18:F19)</f>
        <v>284033</v>
      </c>
      <c r="G21" s="72">
        <f t="shared" si="2"/>
        <v>-48967</v>
      </c>
      <c r="H21" s="25">
        <f t="shared" si="10"/>
        <v>46000</v>
      </c>
      <c r="I21" s="72">
        <f t="shared" si="10"/>
        <v>17000</v>
      </c>
      <c r="J21" s="72">
        <f t="shared" si="9"/>
        <v>-29000</v>
      </c>
      <c r="K21" s="25">
        <f>SUM(K18:K19)</f>
        <v>101000</v>
      </c>
      <c r="L21" s="72">
        <f t="shared" si="10"/>
        <v>15789</v>
      </c>
      <c r="M21" s="72">
        <f t="shared" si="3"/>
        <v>-85211</v>
      </c>
      <c r="N21" s="25">
        <f xml:space="preserve"> N18+N19</f>
        <v>940000</v>
      </c>
      <c r="O21" s="72">
        <f t="shared" si="10"/>
        <v>2000</v>
      </c>
      <c r="P21" s="72">
        <f t="shared" si="4"/>
        <v>-938000</v>
      </c>
      <c r="Q21" s="25">
        <f t="shared" si="10"/>
        <v>40800</v>
      </c>
      <c r="R21" s="72">
        <f t="shared" si="10"/>
        <v>36383</v>
      </c>
      <c r="S21" s="72">
        <f>R21-Q21</f>
        <v>-4417</v>
      </c>
      <c r="T21" s="25">
        <f>SUM(T18:T20)</f>
        <v>170000</v>
      </c>
      <c r="U21" s="72">
        <f>SUM(U18,U20)</f>
        <v>154097</v>
      </c>
      <c r="V21" s="72">
        <f t="shared" si="7"/>
        <v>-15903</v>
      </c>
      <c r="W21" s="25">
        <f>B21+E21+H21+K21+N21+Q21+T21</f>
        <v>2570300</v>
      </c>
      <c r="X21" s="141">
        <f>SUM(X18:X20)</f>
        <v>1343215</v>
      </c>
      <c r="Y21" s="4">
        <f t="shared" si="0"/>
        <v>-1227085</v>
      </c>
    </row>
    <row r="22" spans="1:27" x14ac:dyDescent="0.3">
      <c r="A22" s="30"/>
      <c r="B22" s="22"/>
      <c r="C22" s="72"/>
      <c r="D22" s="72"/>
      <c r="E22" s="25"/>
      <c r="F22" s="72"/>
      <c r="G22" s="72"/>
      <c r="H22" s="25"/>
      <c r="I22" s="72"/>
      <c r="J22" s="72"/>
      <c r="K22" s="25"/>
      <c r="L22" s="72"/>
      <c r="M22" s="72"/>
      <c r="N22" s="25"/>
      <c r="O22" s="72"/>
      <c r="P22" s="72"/>
      <c r="Q22" s="25"/>
      <c r="R22" s="72"/>
      <c r="S22" s="72"/>
      <c r="T22" s="25"/>
      <c r="U22" s="72"/>
      <c r="V22" s="72"/>
      <c r="W22" s="25"/>
      <c r="X22" s="73"/>
      <c r="Y22" s="4"/>
    </row>
    <row r="23" spans="1:27" outlineLevel="1" x14ac:dyDescent="0.3">
      <c r="A23" s="30" t="s">
        <v>34</v>
      </c>
      <c r="B23" s="22">
        <f>B16-B21</f>
        <v>76500</v>
      </c>
      <c r="C23" s="72">
        <f>C16-C21</f>
        <v>181528</v>
      </c>
      <c r="D23" s="72">
        <f>C23-B23</f>
        <v>105028</v>
      </c>
      <c r="E23" s="25">
        <f>E16-E21</f>
        <v>31150</v>
      </c>
      <c r="F23" s="72">
        <f>F16-F21</f>
        <v>68544</v>
      </c>
      <c r="G23" s="72">
        <f t="shared" si="2"/>
        <v>37394</v>
      </c>
      <c r="H23" s="25">
        <f>H16-H21</f>
        <v>-7300</v>
      </c>
      <c r="I23" s="72">
        <f>I16-I21</f>
        <v>21658</v>
      </c>
      <c r="J23" s="72">
        <f>I23-H23</f>
        <v>28958</v>
      </c>
      <c r="K23" s="25">
        <f>K16-K21</f>
        <v>-38500</v>
      </c>
      <c r="L23" s="72">
        <f>L16-L21</f>
        <v>46719</v>
      </c>
      <c r="M23" s="72">
        <f t="shared" si="3"/>
        <v>85219</v>
      </c>
      <c r="N23" s="25">
        <f>N16-N21</f>
        <v>6000</v>
      </c>
      <c r="O23" s="72">
        <f>O16-O21</f>
        <v>7750</v>
      </c>
      <c r="P23" s="72">
        <f t="shared" si="4"/>
        <v>1750</v>
      </c>
      <c r="Q23" s="25">
        <f>Q16-Q21</f>
        <v>2028</v>
      </c>
      <c r="R23" s="109">
        <f>R16-R21</f>
        <v>-4111</v>
      </c>
      <c r="S23" s="72">
        <f>R23-Q23</f>
        <v>-6139</v>
      </c>
      <c r="T23" s="25">
        <f>T16-T21</f>
        <v>0</v>
      </c>
      <c r="U23" s="72">
        <f>U16-U20</f>
        <v>26056</v>
      </c>
      <c r="V23" s="72">
        <f t="shared" si="7"/>
        <v>26056</v>
      </c>
      <c r="W23" s="25">
        <f>W16-W21</f>
        <v>69878</v>
      </c>
      <c r="X23" s="141">
        <f>C23+F23+I23+L23+O23+R23+U23</f>
        <v>348144</v>
      </c>
      <c r="Y23" s="4">
        <f t="shared" si="0"/>
        <v>278266</v>
      </c>
    </row>
    <row r="24" spans="1:27" x14ac:dyDescent="0.3">
      <c r="A24" s="30" t="s">
        <v>58</v>
      </c>
      <c r="B24" s="22">
        <f>B9+B16-B21</f>
        <v>347300</v>
      </c>
      <c r="C24" s="72">
        <f>C9+C16-C21</f>
        <v>370800</v>
      </c>
      <c r="D24" s="72">
        <f>C24-B24</f>
        <v>23500</v>
      </c>
      <c r="E24" s="25">
        <f>E9+E16-E21</f>
        <v>108659</v>
      </c>
      <c r="F24" s="72">
        <f>F9+F16-F21</f>
        <v>87709</v>
      </c>
      <c r="G24" s="72">
        <f t="shared" si="2"/>
        <v>-20950</v>
      </c>
      <c r="H24" s="25">
        <f>H9+H16-H21</f>
        <v>39151</v>
      </c>
      <c r="I24" s="72">
        <f>I9+I16-I21</f>
        <v>46451</v>
      </c>
      <c r="J24" s="72">
        <f>I24-H24</f>
        <v>7300</v>
      </c>
      <c r="K24" s="25">
        <f>K9+K16-K21</f>
        <v>-4769</v>
      </c>
      <c r="L24" s="72">
        <f>L9+L16-L21</f>
        <v>58731</v>
      </c>
      <c r="M24" s="72">
        <f t="shared" si="3"/>
        <v>63500</v>
      </c>
      <c r="N24" s="25">
        <f>N9+N16-N21</f>
        <v>9720</v>
      </c>
      <c r="O24" s="72">
        <f>O9+O16-O21</f>
        <v>9720</v>
      </c>
      <c r="P24" s="72">
        <f t="shared" si="4"/>
        <v>0</v>
      </c>
      <c r="Q24" s="25">
        <f>Q9+Q16-Q21</f>
        <v>1213</v>
      </c>
      <c r="R24" s="72">
        <f>R9+R16-R21</f>
        <v>763</v>
      </c>
      <c r="S24" s="72">
        <f>R24-Q24</f>
        <v>-450</v>
      </c>
      <c r="T24" s="25">
        <f>T9+T16-T21</f>
        <v>22178</v>
      </c>
      <c r="U24" s="72">
        <f>U9+U16-U21</f>
        <v>22178</v>
      </c>
      <c r="V24" s="72">
        <f t="shared" si="7"/>
        <v>0</v>
      </c>
      <c r="W24" s="25">
        <f>W9+W23</f>
        <v>523452</v>
      </c>
      <c r="X24" s="73">
        <f>C24+F24+I24+L24+O24+R24+U24</f>
        <v>596352</v>
      </c>
      <c r="Y24" s="4">
        <f t="shared" si="0"/>
        <v>72900</v>
      </c>
    </row>
    <row r="25" spans="1:27" x14ac:dyDescent="0.3">
      <c r="A25" s="30"/>
      <c r="B25" s="74"/>
      <c r="C25" s="66"/>
      <c r="D25" s="66"/>
      <c r="E25" s="66"/>
      <c r="F25" s="66"/>
      <c r="G25" s="72"/>
      <c r="H25" s="66"/>
      <c r="I25" s="66"/>
      <c r="J25" s="66"/>
      <c r="K25" s="66"/>
      <c r="L25" s="66"/>
      <c r="M25" s="72"/>
      <c r="N25" s="66"/>
      <c r="O25" s="66"/>
      <c r="P25" s="72"/>
      <c r="Q25" s="66"/>
      <c r="R25" s="66"/>
      <c r="S25" s="66"/>
      <c r="T25" s="66"/>
      <c r="U25" s="66"/>
      <c r="V25" s="72"/>
      <c r="W25" s="72"/>
      <c r="X25" s="75"/>
      <c r="Y25" s="4"/>
    </row>
    <row r="26" spans="1:27" outlineLevel="1" x14ac:dyDescent="0.3">
      <c r="A26" s="30" t="s">
        <v>51</v>
      </c>
      <c r="B26" s="71">
        <v>425087</v>
      </c>
      <c r="C26" s="72">
        <v>325087</v>
      </c>
      <c r="D26" s="72">
        <f>C26-B26</f>
        <v>-100000</v>
      </c>
      <c r="E26" s="72">
        <v>112267</v>
      </c>
      <c r="F26" s="72">
        <v>102067</v>
      </c>
      <c r="G26" s="72">
        <f t="shared" si="2"/>
        <v>-10200</v>
      </c>
      <c r="H26" s="72"/>
      <c r="I26" s="66"/>
      <c r="J26" s="66"/>
      <c r="K26" s="72">
        <v>289924</v>
      </c>
      <c r="L26" s="72">
        <v>264924</v>
      </c>
      <c r="M26" s="72">
        <f t="shared" si="3"/>
        <v>-25000</v>
      </c>
      <c r="N26" s="72">
        <v>35154</v>
      </c>
      <c r="O26" s="76">
        <v>29154</v>
      </c>
      <c r="P26" s="72">
        <f t="shared" si="4"/>
        <v>-6000</v>
      </c>
      <c r="Q26" s="72">
        <v>15533</v>
      </c>
      <c r="R26" s="72">
        <v>13955</v>
      </c>
      <c r="S26" s="72">
        <f t="shared" ref="S26:S31" si="11">R26-Q26</f>
        <v>-1578</v>
      </c>
      <c r="T26" s="72"/>
      <c r="U26" s="66"/>
      <c r="V26" s="72">
        <f t="shared" si="7"/>
        <v>0</v>
      </c>
      <c r="W26" s="72">
        <f>B26+E26+K26+N26+Q26</f>
        <v>877965</v>
      </c>
      <c r="X26" s="73">
        <f>C26+F26+L26+O26+R26</f>
        <v>735187</v>
      </c>
      <c r="Y26" s="39">
        <f t="shared" si="0"/>
        <v>-142778</v>
      </c>
    </row>
    <row r="27" spans="1:27" outlineLevel="1" x14ac:dyDescent="0.3">
      <c r="A27" s="30" t="s">
        <v>63</v>
      </c>
      <c r="B27" s="71">
        <v>100000</v>
      </c>
      <c r="C27" s="72">
        <v>100000</v>
      </c>
      <c r="D27" s="72">
        <f t="shared" ref="D27:D28" si="12">C27-B27</f>
        <v>0</v>
      </c>
      <c r="E27" s="72">
        <v>20400</v>
      </c>
      <c r="F27" s="72">
        <v>10200</v>
      </c>
      <c r="G27" s="72">
        <f t="shared" si="2"/>
        <v>-10200</v>
      </c>
      <c r="H27" s="66"/>
      <c r="I27" s="66"/>
      <c r="J27" s="66"/>
      <c r="K27" s="72">
        <v>25000</v>
      </c>
      <c r="L27" s="72">
        <v>25000</v>
      </c>
      <c r="M27" s="72">
        <f t="shared" si="3"/>
        <v>0</v>
      </c>
      <c r="N27" s="109">
        <v>6000</v>
      </c>
      <c r="O27" s="72">
        <v>6000</v>
      </c>
      <c r="P27" s="72">
        <f t="shared" si="4"/>
        <v>0</v>
      </c>
      <c r="Q27" s="72">
        <v>1578</v>
      </c>
      <c r="R27" s="72">
        <v>1578</v>
      </c>
      <c r="S27" s="72">
        <f t="shared" si="11"/>
        <v>0</v>
      </c>
      <c r="T27" s="66"/>
      <c r="U27" s="66"/>
      <c r="V27" s="72">
        <f t="shared" si="7"/>
        <v>0</v>
      </c>
      <c r="W27" s="72">
        <f>B27+E27+H27+K27+N27+Q27+T27</f>
        <v>152978</v>
      </c>
      <c r="X27" s="73">
        <f>C27+F27+I27+L27+O27+R27+U27</f>
        <v>142778</v>
      </c>
      <c r="Y27" s="4">
        <f t="shared" si="0"/>
        <v>-10200</v>
      </c>
    </row>
    <row r="28" spans="1:27" outlineLevel="1" x14ac:dyDescent="0.3">
      <c r="A28" s="30" t="s">
        <v>49</v>
      </c>
      <c r="B28" s="71">
        <v>0</v>
      </c>
      <c r="C28" s="72">
        <v>0</v>
      </c>
      <c r="D28" s="72">
        <f t="shared" si="12"/>
        <v>0</v>
      </c>
      <c r="E28" s="72">
        <v>0</v>
      </c>
      <c r="F28" s="66"/>
      <c r="G28" s="72">
        <f t="shared" si="2"/>
        <v>0</v>
      </c>
      <c r="H28" s="66"/>
      <c r="I28" s="66"/>
      <c r="J28" s="66"/>
      <c r="K28" s="72">
        <f>'GA14 Vatten Ö.Skrållan'!B18</f>
        <v>50000</v>
      </c>
      <c r="L28" s="66">
        <v>0</v>
      </c>
      <c r="M28" s="72">
        <f t="shared" si="3"/>
        <v>-50000</v>
      </c>
      <c r="N28" s="72">
        <v>0</v>
      </c>
      <c r="O28" s="66">
        <v>0</v>
      </c>
      <c r="P28" s="72">
        <f t="shared" si="4"/>
        <v>0</v>
      </c>
      <c r="Q28" s="66">
        <v>0</v>
      </c>
      <c r="R28" s="66">
        <v>0</v>
      </c>
      <c r="S28" s="66">
        <f t="shared" si="11"/>
        <v>0</v>
      </c>
      <c r="T28" s="66"/>
      <c r="U28" s="66"/>
      <c r="V28" s="72">
        <f t="shared" si="7"/>
        <v>0</v>
      </c>
      <c r="W28" s="72">
        <f>B28+E28+H28+K28+N28+Q28+T28</f>
        <v>50000</v>
      </c>
      <c r="X28" s="73">
        <f>C28+F28+I28+L28+O28+R28+U28</f>
        <v>0</v>
      </c>
      <c r="Y28" s="4">
        <f t="shared" si="0"/>
        <v>-50000</v>
      </c>
    </row>
    <row r="29" spans="1:27" x14ac:dyDescent="0.3">
      <c r="A29" s="34" t="s">
        <v>53</v>
      </c>
      <c r="B29" s="116">
        <f>B26+B27+B28</f>
        <v>525087</v>
      </c>
      <c r="C29" s="117">
        <f>C26+C27+C28</f>
        <v>425087</v>
      </c>
      <c r="D29" s="118">
        <f>C29-B29</f>
        <v>-100000</v>
      </c>
      <c r="E29" s="119">
        <f>E26+E27+E28</f>
        <v>132667</v>
      </c>
      <c r="F29" s="119">
        <f>F26+F27+F28</f>
        <v>112267</v>
      </c>
      <c r="G29" s="118">
        <f>F29-E29</f>
        <v>-20400</v>
      </c>
      <c r="H29" s="120">
        <v>0</v>
      </c>
      <c r="I29" s="121">
        <v>0</v>
      </c>
      <c r="J29" s="121">
        <f>I29-H29</f>
        <v>0</v>
      </c>
      <c r="K29" s="116">
        <f>K26+K27-K28</f>
        <v>264924</v>
      </c>
      <c r="L29" s="119">
        <f>L26+L27+L28</f>
        <v>289924</v>
      </c>
      <c r="M29" s="118">
        <f>L29-K29</f>
        <v>25000</v>
      </c>
      <c r="N29" s="116">
        <f>N26+N27-N28</f>
        <v>41154</v>
      </c>
      <c r="O29" s="118">
        <f>O26+O27</f>
        <v>35154</v>
      </c>
      <c r="P29" s="118">
        <f>O29-N29</f>
        <v>-6000</v>
      </c>
      <c r="Q29" s="116">
        <f>Q26+Q27+Q28</f>
        <v>17111</v>
      </c>
      <c r="R29" s="118">
        <f>R26+R27</f>
        <v>15533</v>
      </c>
      <c r="S29" s="118">
        <f t="shared" si="11"/>
        <v>-1578</v>
      </c>
      <c r="T29" s="120">
        <v>0</v>
      </c>
      <c r="U29" s="120">
        <v>0</v>
      </c>
      <c r="V29" s="122">
        <f>U29-T29</f>
        <v>0</v>
      </c>
      <c r="W29" s="123">
        <f>B29+E29+H29+K29+N29+Q29+T29</f>
        <v>980943</v>
      </c>
      <c r="X29" s="124">
        <f>X26+X27+X28</f>
        <v>877965</v>
      </c>
      <c r="Y29" s="77">
        <f t="shared" si="0"/>
        <v>-102978</v>
      </c>
      <c r="AA29" s="81"/>
    </row>
    <row r="30" spans="1:27" x14ac:dyDescent="0.3">
      <c r="A30" s="35" t="s">
        <v>60</v>
      </c>
      <c r="B30" s="125">
        <f>B24-B27</f>
        <v>247300</v>
      </c>
      <c r="C30" s="126">
        <f>C24-C27</f>
        <v>270800</v>
      </c>
      <c r="D30" s="127">
        <f>C30-B30</f>
        <v>23500</v>
      </c>
      <c r="E30" s="128">
        <f>E24-E27</f>
        <v>88259</v>
      </c>
      <c r="F30" s="128">
        <f>F24-F27</f>
        <v>77509</v>
      </c>
      <c r="G30" s="127">
        <f>F30-E30</f>
        <v>-10750</v>
      </c>
      <c r="H30" s="128">
        <f>H24-H27</f>
        <v>39151</v>
      </c>
      <c r="I30" s="128">
        <f t="shared" ref="I30:J30" si="13">I24-I27</f>
        <v>46451</v>
      </c>
      <c r="J30" s="128">
        <f t="shared" si="13"/>
        <v>7300</v>
      </c>
      <c r="K30" s="128">
        <f>K24-K27+K28</f>
        <v>20231</v>
      </c>
      <c r="L30" s="128">
        <f>L24-L27-L28</f>
        <v>33731</v>
      </c>
      <c r="M30" s="127">
        <f>L30-K30</f>
        <v>13500</v>
      </c>
      <c r="N30" s="125">
        <f>N24-N27+N28</f>
        <v>3720</v>
      </c>
      <c r="O30" s="128">
        <f>O24-O27-O28</f>
        <v>3720</v>
      </c>
      <c r="P30" s="127">
        <f>O30-N30</f>
        <v>0</v>
      </c>
      <c r="Q30" s="125">
        <f>Q24-Q27-Q28</f>
        <v>-365</v>
      </c>
      <c r="R30" s="128">
        <f>R24-R27-R28</f>
        <v>-815</v>
      </c>
      <c r="S30" s="127">
        <f t="shared" si="11"/>
        <v>-450</v>
      </c>
      <c r="T30" s="128">
        <f>T24</f>
        <v>22178</v>
      </c>
      <c r="U30" s="142">
        <f>U24</f>
        <v>22178</v>
      </c>
      <c r="V30" s="129">
        <f>U30-T30</f>
        <v>0</v>
      </c>
      <c r="W30" s="130">
        <f>B30+E30+H30+K30+N30+Q30+T30</f>
        <v>420474</v>
      </c>
      <c r="X30" s="131">
        <f>C30+F30+I30+L30+O30+R30+U30</f>
        <v>453574</v>
      </c>
      <c r="Y30" s="78">
        <f t="shared" si="0"/>
        <v>33100</v>
      </c>
    </row>
    <row r="31" spans="1:27" x14ac:dyDescent="0.3">
      <c r="A31" s="36" t="s">
        <v>59</v>
      </c>
      <c r="B31" s="87">
        <f>B29+B30</f>
        <v>772387</v>
      </c>
      <c r="C31" s="88">
        <f>C29+C30</f>
        <v>695887</v>
      </c>
      <c r="D31" s="89">
        <f>C31-B31</f>
        <v>-76500</v>
      </c>
      <c r="E31" s="90">
        <f t="shared" ref="E31:U31" si="14">E29+E30</f>
        <v>220926</v>
      </c>
      <c r="F31" s="90">
        <f t="shared" si="14"/>
        <v>189776</v>
      </c>
      <c r="G31" s="89">
        <f>F31-E31</f>
        <v>-31150</v>
      </c>
      <c r="H31" s="90">
        <f t="shared" si="14"/>
        <v>39151</v>
      </c>
      <c r="I31" s="89">
        <f t="shared" si="14"/>
        <v>46451</v>
      </c>
      <c r="J31" s="89">
        <f>I31-H31</f>
        <v>7300</v>
      </c>
      <c r="K31" s="87">
        <f>K29+K30</f>
        <v>285155</v>
      </c>
      <c r="L31" s="90">
        <f t="shared" si="14"/>
        <v>323655</v>
      </c>
      <c r="M31" s="89">
        <f>L31-K31</f>
        <v>38500</v>
      </c>
      <c r="N31" s="87">
        <f t="shared" si="14"/>
        <v>44874</v>
      </c>
      <c r="O31" s="89">
        <f t="shared" si="14"/>
        <v>38874</v>
      </c>
      <c r="P31" s="89">
        <f>O31-N31</f>
        <v>-6000</v>
      </c>
      <c r="Q31" s="87">
        <f t="shared" si="14"/>
        <v>16746</v>
      </c>
      <c r="R31" s="89">
        <f t="shared" si="14"/>
        <v>14718</v>
      </c>
      <c r="S31" s="89">
        <f t="shared" si="11"/>
        <v>-2028</v>
      </c>
      <c r="T31" s="90">
        <f t="shared" si="14"/>
        <v>22178</v>
      </c>
      <c r="U31" s="90">
        <f t="shared" si="14"/>
        <v>22178</v>
      </c>
      <c r="V31" s="91">
        <f>U31-T31</f>
        <v>0</v>
      </c>
      <c r="W31" s="92">
        <f>W29+W30</f>
        <v>1401417</v>
      </c>
      <c r="X31" s="132">
        <f>X29+X30</f>
        <v>1331539</v>
      </c>
      <c r="Y31" s="79">
        <f t="shared" si="0"/>
        <v>-69878</v>
      </c>
    </row>
    <row r="32" spans="1:27" x14ac:dyDescent="0.3">
      <c r="A32" s="41"/>
      <c r="B32" s="23"/>
      <c r="C32" s="80"/>
      <c r="D32" s="80"/>
      <c r="E32" s="23"/>
      <c r="F32" s="80"/>
      <c r="G32" s="80"/>
      <c r="H32" s="23"/>
      <c r="I32" s="80"/>
      <c r="J32" s="80"/>
      <c r="K32" s="23"/>
      <c r="L32" s="80"/>
      <c r="M32" s="80"/>
      <c r="N32" s="23"/>
      <c r="O32" s="80"/>
      <c r="P32" s="80"/>
      <c r="Q32" s="23"/>
      <c r="R32" s="80"/>
      <c r="S32" s="80"/>
      <c r="T32" s="23"/>
      <c r="U32" s="80"/>
      <c r="V32" s="80"/>
      <c r="W32" s="23"/>
      <c r="X32" s="38"/>
    </row>
    <row r="33" spans="1:27" x14ac:dyDescent="0.3">
      <c r="A33" s="111"/>
      <c r="B33" s="112"/>
      <c r="C33" s="113"/>
      <c r="D33" s="113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06"/>
      <c r="AA33" s="82"/>
    </row>
    <row r="34" spans="1:27" x14ac:dyDescent="0.3">
      <c r="A34" s="111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</row>
    <row r="35" spans="1:27" x14ac:dyDescent="0.3">
      <c r="A35" s="111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</row>
    <row r="36" spans="1:27" x14ac:dyDescent="0.3">
      <c r="A36" s="9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</row>
    <row r="37" spans="1:27" x14ac:dyDescent="0.3">
      <c r="A37" s="111"/>
      <c r="B37" s="114"/>
      <c r="C37" s="114"/>
      <c r="D37" s="115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27" x14ac:dyDescent="0.3">
      <c r="D38" s="80"/>
    </row>
    <row r="39" spans="1:27" x14ac:dyDescent="0.3">
      <c r="A39" s="111"/>
    </row>
    <row r="40" spans="1:27" x14ac:dyDescent="0.3">
      <c r="A40" s="111"/>
    </row>
  </sheetData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7414-0058-4E1D-A184-DC75CCD7C795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B9FD-1281-46C9-8C11-4F769212850B}">
  <dimension ref="A5:G23"/>
  <sheetViews>
    <sheetView topLeftCell="A5" workbookViewId="0">
      <selection activeCell="B6" sqref="B6"/>
    </sheetView>
  </sheetViews>
  <sheetFormatPr defaultRowHeight="14.4" x14ac:dyDescent="0.3"/>
  <cols>
    <col min="1" max="1" width="32.33203125" bestFit="1" customWidth="1"/>
    <col min="2" max="2" width="26.5546875" customWidth="1"/>
  </cols>
  <sheetData>
    <row r="5" spans="1:7" ht="45.75" customHeight="1" x14ac:dyDescent="0.3">
      <c r="A5" s="2"/>
      <c r="B5" s="11" t="s">
        <v>1</v>
      </c>
    </row>
    <row r="6" spans="1:7" ht="30" customHeight="1" x14ac:dyDescent="0.3">
      <c r="A6" s="19" t="s">
        <v>40</v>
      </c>
      <c r="B6" s="133">
        <f>181528-100000+189272</f>
        <v>270800</v>
      </c>
      <c r="C6" s="93" t="s">
        <v>123</v>
      </c>
    </row>
    <row r="7" spans="1:7" x14ac:dyDescent="0.3">
      <c r="A7" s="3" t="s">
        <v>35</v>
      </c>
      <c r="B7" s="4">
        <f>660000*1.25</f>
        <v>825000</v>
      </c>
      <c r="C7" t="s">
        <v>112</v>
      </c>
    </row>
    <row r="8" spans="1:7" x14ac:dyDescent="0.3">
      <c r="A8" s="3" t="s">
        <v>52</v>
      </c>
      <c r="B8" s="4">
        <v>100000</v>
      </c>
    </row>
    <row r="9" spans="1:7" x14ac:dyDescent="0.3">
      <c r="A9" s="6" t="s">
        <v>11</v>
      </c>
      <c r="B9" s="4">
        <v>67000</v>
      </c>
    </row>
    <row r="10" spans="1:7" x14ac:dyDescent="0.3">
      <c r="A10" s="6" t="s">
        <v>120</v>
      </c>
      <c r="B10" s="4">
        <v>24000</v>
      </c>
    </row>
    <row r="11" spans="1:7" x14ac:dyDescent="0.3">
      <c r="A11" s="2" t="s">
        <v>5</v>
      </c>
      <c r="B11" s="7">
        <f>B7+B8+B9+B10</f>
        <v>1016000</v>
      </c>
    </row>
    <row r="12" spans="1:7" x14ac:dyDescent="0.3">
      <c r="A12" s="2"/>
      <c r="B12" s="5"/>
    </row>
    <row r="13" spans="1:7" x14ac:dyDescent="0.3">
      <c r="A13" s="6" t="s">
        <v>72</v>
      </c>
      <c r="B13" s="4">
        <v>732000</v>
      </c>
      <c r="D13" t="s">
        <v>74</v>
      </c>
      <c r="G13" t="s">
        <v>94</v>
      </c>
    </row>
    <row r="14" spans="1:7" x14ac:dyDescent="0.3">
      <c r="A14" s="6" t="s">
        <v>10</v>
      </c>
      <c r="B14" s="4">
        <f>90000*1.25</f>
        <v>112500</v>
      </c>
    </row>
    <row r="15" spans="1:7" x14ac:dyDescent="0.3">
      <c r="A15" s="6" t="s">
        <v>73</v>
      </c>
      <c r="B15" s="4">
        <v>25000</v>
      </c>
    </row>
    <row r="16" spans="1:7" x14ac:dyDescent="0.3">
      <c r="A16" s="6" t="s">
        <v>14</v>
      </c>
      <c r="B16" s="4">
        <v>70000</v>
      </c>
    </row>
    <row r="17" spans="1:4" x14ac:dyDescent="0.3">
      <c r="A17" s="2" t="s">
        <v>12</v>
      </c>
      <c r="B17" s="7">
        <f>SUM(B13:B16)</f>
        <v>939500</v>
      </c>
      <c r="D17" s="12"/>
    </row>
    <row r="18" spans="1:4" x14ac:dyDescent="0.3">
      <c r="A18" s="2"/>
      <c r="B18" s="4"/>
    </row>
    <row r="19" spans="1:4" x14ac:dyDescent="0.3">
      <c r="A19" s="6" t="s">
        <v>9</v>
      </c>
      <c r="B19" s="4">
        <v>100000</v>
      </c>
    </row>
    <row r="20" spans="1:4" x14ac:dyDescent="0.3">
      <c r="A20" s="2"/>
      <c r="B20" s="4"/>
    </row>
    <row r="21" spans="1:4" x14ac:dyDescent="0.3">
      <c r="A21" s="2"/>
      <c r="B21" s="5"/>
    </row>
    <row r="22" spans="1:4" x14ac:dyDescent="0.3">
      <c r="A22" s="8" t="s">
        <v>43</v>
      </c>
      <c r="B22" s="9">
        <f>B6+B11-B17-B19</f>
        <v>247300</v>
      </c>
    </row>
    <row r="23" spans="1:4" x14ac:dyDescent="0.3">
      <c r="A23" s="8" t="s">
        <v>44</v>
      </c>
      <c r="B23" s="9">
        <f>325087+100000+B19</f>
        <v>525087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39DD-448E-4430-963D-A01BB3BFCA2E}">
  <dimension ref="A5:I55"/>
  <sheetViews>
    <sheetView topLeftCell="A5" workbookViewId="0">
      <selection activeCell="C6" sqref="C6"/>
    </sheetView>
  </sheetViews>
  <sheetFormatPr defaultRowHeight="14.4" x14ac:dyDescent="0.3"/>
  <cols>
    <col min="1" max="1" width="25.5546875" customWidth="1"/>
    <col min="2" max="3" width="31.44140625" customWidth="1"/>
    <col min="5" max="5" width="32.5546875" bestFit="1" customWidth="1"/>
    <col min="6" max="6" width="10.44140625" bestFit="1" customWidth="1"/>
    <col min="7" max="7" width="12.88671875" bestFit="1" customWidth="1"/>
    <col min="8" max="8" width="11.44140625" bestFit="1" customWidth="1"/>
  </cols>
  <sheetData>
    <row r="5" spans="1:9" ht="42" customHeight="1" x14ac:dyDescent="0.3">
      <c r="A5" s="2"/>
      <c r="B5" s="11" t="s">
        <v>16</v>
      </c>
      <c r="C5" s="95"/>
    </row>
    <row r="6" spans="1:9" ht="36" customHeight="1" x14ac:dyDescent="0.3">
      <c r="A6" s="19" t="s">
        <v>40</v>
      </c>
      <c r="B6" s="133">
        <f>68544-10200+19165</f>
        <v>77509</v>
      </c>
      <c r="C6" s="96"/>
      <c r="D6" s="93"/>
    </row>
    <row r="7" spans="1:9" ht="20.25" customHeight="1" x14ac:dyDescent="0.3">
      <c r="A7" s="3" t="s">
        <v>35</v>
      </c>
      <c r="B7" s="39">
        <f>275000*1.25</f>
        <v>343750</v>
      </c>
      <c r="C7" s="12" t="s">
        <v>112</v>
      </c>
    </row>
    <row r="8" spans="1:9" x14ac:dyDescent="0.3">
      <c r="A8" s="6" t="s">
        <v>36</v>
      </c>
      <c r="B8" s="4">
        <v>20400</v>
      </c>
      <c r="C8" s="12" t="s">
        <v>113</v>
      </c>
    </row>
    <row r="9" spans="1:9" x14ac:dyDescent="0.3">
      <c r="A9" s="2" t="s">
        <v>5</v>
      </c>
      <c r="B9" s="7">
        <f t="shared" ref="B9" si="0">SUM(B7:B8)</f>
        <v>364150</v>
      </c>
      <c r="C9" s="38"/>
    </row>
    <row r="10" spans="1:9" x14ac:dyDescent="0.3">
      <c r="A10" s="2"/>
      <c r="B10" s="5"/>
      <c r="D10" s="93"/>
    </row>
    <row r="11" spans="1:9" x14ac:dyDescent="0.3">
      <c r="A11" s="6" t="s">
        <v>17</v>
      </c>
      <c r="B11" s="4">
        <v>330000</v>
      </c>
      <c r="C11" s="12"/>
      <c r="D11" s="93"/>
    </row>
    <row r="12" spans="1:9" x14ac:dyDescent="0.3">
      <c r="A12" s="6" t="s">
        <v>18</v>
      </c>
      <c r="B12" s="4">
        <v>1000</v>
      </c>
      <c r="C12" s="12"/>
      <c r="I12" s="12"/>
    </row>
    <row r="13" spans="1:9" x14ac:dyDescent="0.3">
      <c r="A13" s="6" t="s">
        <v>19</v>
      </c>
      <c r="B13" s="4">
        <v>2000</v>
      </c>
      <c r="C13" s="12"/>
    </row>
    <row r="14" spans="1:9" x14ac:dyDescent="0.3">
      <c r="A14" s="2" t="s">
        <v>12</v>
      </c>
      <c r="B14" s="7">
        <f>SUM(B11:B13)</f>
        <v>333000</v>
      </c>
      <c r="C14" s="38"/>
    </row>
    <row r="15" spans="1:9" x14ac:dyDescent="0.3">
      <c r="A15" s="2"/>
      <c r="B15" s="4"/>
      <c r="C15" s="12"/>
    </row>
    <row r="16" spans="1:9" x14ac:dyDescent="0.3">
      <c r="A16" s="6" t="s">
        <v>9</v>
      </c>
      <c r="B16" s="4">
        <v>20400</v>
      </c>
      <c r="C16" s="12"/>
    </row>
    <row r="17" spans="1:7" x14ac:dyDescent="0.3">
      <c r="A17" s="2"/>
      <c r="B17" s="4"/>
      <c r="C17" s="12"/>
    </row>
    <row r="18" spans="1:7" x14ac:dyDescent="0.3">
      <c r="A18" s="2"/>
      <c r="B18" s="5"/>
    </row>
    <row r="19" spans="1:7" x14ac:dyDescent="0.3">
      <c r="A19" s="8" t="s">
        <v>43</v>
      </c>
      <c r="B19" s="9">
        <f>B6+B9-B14-B16</f>
        <v>88259</v>
      </c>
      <c r="C19" s="38"/>
    </row>
    <row r="20" spans="1:7" x14ac:dyDescent="0.3">
      <c r="A20" s="8" t="s">
        <v>44</v>
      </c>
      <c r="B20" s="10">
        <f>102067+10200++B16</f>
        <v>132667</v>
      </c>
      <c r="C20" s="38"/>
    </row>
    <row r="28" spans="1:7" x14ac:dyDescent="0.3">
      <c r="E28" s="93"/>
    </row>
    <row r="30" spans="1:7" ht="29.25" customHeight="1" x14ac:dyDescent="0.3">
      <c r="A30" s="33"/>
      <c r="B30" s="12"/>
      <c r="C30" s="12"/>
    </row>
    <row r="31" spans="1:7" x14ac:dyDescent="0.3">
      <c r="B31" s="12"/>
      <c r="C31" s="12"/>
      <c r="G31" s="93"/>
    </row>
    <row r="32" spans="1:7" x14ac:dyDescent="0.3">
      <c r="B32" s="12"/>
      <c r="C32" s="12"/>
      <c r="D32" s="97"/>
      <c r="E32" s="97"/>
      <c r="G32" s="98"/>
    </row>
    <row r="33" spans="2:9" x14ac:dyDescent="0.3">
      <c r="F33" s="97"/>
      <c r="G33" s="97"/>
      <c r="H33" s="97"/>
      <c r="I33" s="97"/>
    </row>
    <row r="35" spans="2:9" x14ac:dyDescent="0.3">
      <c r="D35" s="102"/>
      <c r="E35" s="103"/>
      <c r="F35" s="103"/>
      <c r="G35" s="104"/>
    </row>
    <row r="36" spans="2:9" x14ac:dyDescent="0.3">
      <c r="B36" s="12"/>
      <c r="C36" s="12"/>
      <c r="G36" s="97"/>
    </row>
    <row r="37" spans="2:9" x14ac:dyDescent="0.3">
      <c r="G37" s="97"/>
    </row>
    <row r="38" spans="2:9" x14ac:dyDescent="0.3">
      <c r="G38" s="97"/>
    </row>
    <row r="39" spans="2:9" x14ac:dyDescent="0.3">
      <c r="D39" s="99"/>
      <c r="E39" s="100"/>
      <c r="F39" s="100"/>
      <c r="G39" s="101"/>
    </row>
    <row r="41" spans="2:9" x14ac:dyDescent="0.3">
      <c r="B41" s="12"/>
      <c r="C41" s="12"/>
      <c r="D41" s="102"/>
      <c r="E41" s="103"/>
      <c r="F41" s="103"/>
      <c r="G41" s="104"/>
    </row>
    <row r="42" spans="2:9" x14ac:dyDescent="0.3">
      <c r="G42" s="97"/>
    </row>
    <row r="43" spans="2:9" x14ac:dyDescent="0.3">
      <c r="G43" s="97"/>
    </row>
    <row r="44" spans="2:9" x14ac:dyDescent="0.3">
      <c r="G44" s="97"/>
    </row>
    <row r="45" spans="2:9" x14ac:dyDescent="0.3">
      <c r="B45" s="12"/>
      <c r="D45" s="99"/>
      <c r="E45" s="100"/>
      <c r="F45" s="100"/>
      <c r="G45" s="101"/>
    </row>
    <row r="48" spans="2:9" x14ac:dyDescent="0.3">
      <c r="B48" s="12"/>
      <c r="D48" s="102"/>
      <c r="E48" s="103"/>
      <c r="F48" s="103"/>
      <c r="G48" s="104"/>
    </row>
    <row r="49" spans="2:7" x14ac:dyDescent="0.3">
      <c r="G49" s="97"/>
    </row>
    <row r="50" spans="2:7" x14ac:dyDescent="0.3">
      <c r="G50" s="97"/>
    </row>
    <row r="51" spans="2:7" x14ac:dyDescent="0.3">
      <c r="B51" s="12"/>
      <c r="G51" s="97"/>
    </row>
    <row r="52" spans="2:7" x14ac:dyDescent="0.3">
      <c r="D52" s="99"/>
      <c r="E52" s="100"/>
      <c r="F52" s="100"/>
      <c r="G52" s="101"/>
    </row>
    <row r="54" spans="2:7" x14ac:dyDescent="0.3">
      <c r="B54" s="12"/>
    </row>
    <row r="55" spans="2:7" x14ac:dyDescent="0.3">
      <c r="B55" s="9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2DA0-7FC9-4A86-A42F-EFD08C1D456D}">
  <dimension ref="A5:C23"/>
  <sheetViews>
    <sheetView topLeftCell="A5" workbookViewId="0">
      <selection activeCell="B6" sqref="B6"/>
    </sheetView>
  </sheetViews>
  <sheetFormatPr defaultRowHeight="14.4" x14ac:dyDescent="0.3"/>
  <cols>
    <col min="1" max="1" width="32.33203125" bestFit="1" customWidth="1"/>
    <col min="2" max="2" width="26.5546875" customWidth="1"/>
  </cols>
  <sheetData>
    <row r="5" spans="1:3" ht="45" customHeight="1" x14ac:dyDescent="0.3">
      <c r="A5" s="2"/>
      <c r="B5" s="11" t="s">
        <v>20</v>
      </c>
    </row>
    <row r="6" spans="1:3" ht="33.75" customHeight="1" x14ac:dyDescent="0.3">
      <c r="A6" s="19" t="s">
        <v>40</v>
      </c>
      <c r="B6" s="20">
        <f>21658+24793</f>
        <v>46451</v>
      </c>
    </row>
    <row r="7" spans="1:3" x14ac:dyDescent="0.3">
      <c r="A7" s="3" t="s">
        <v>114</v>
      </c>
      <c r="B7" s="4">
        <v>38700</v>
      </c>
      <c r="C7" t="s">
        <v>115</v>
      </c>
    </row>
    <row r="8" spans="1:3" x14ac:dyDescent="0.3">
      <c r="A8" s="6"/>
      <c r="B8" s="4"/>
    </row>
    <row r="9" spans="1:3" x14ac:dyDescent="0.3">
      <c r="A9" s="2" t="s">
        <v>5</v>
      </c>
      <c r="B9" s="7">
        <f t="shared" ref="B9" si="0">SUM(B7:B8)</f>
        <v>38700</v>
      </c>
    </row>
    <row r="10" spans="1:3" x14ac:dyDescent="0.3">
      <c r="A10" s="2"/>
      <c r="B10" s="5"/>
    </row>
    <row r="11" spans="1:3" x14ac:dyDescent="0.3">
      <c r="A11" s="6" t="s">
        <v>79</v>
      </c>
      <c r="B11" s="4">
        <v>30000</v>
      </c>
    </row>
    <row r="12" spans="1:3" x14ac:dyDescent="0.3">
      <c r="A12" s="6" t="s">
        <v>21</v>
      </c>
      <c r="B12" s="4">
        <v>1000</v>
      </c>
    </row>
    <row r="13" spans="1:3" x14ac:dyDescent="0.3">
      <c r="A13" s="6" t="s">
        <v>95</v>
      </c>
      <c r="B13" s="4">
        <f>15000</f>
        <v>15000</v>
      </c>
    </row>
    <row r="14" spans="1:3" x14ac:dyDescent="0.3">
      <c r="A14" s="6" t="s">
        <v>12</v>
      </c>
      <c r="B14" s="4">
        <f>SUM(B11:B13)</f>
        <v>46000</v>
      </c>
    </row>
    <row r="15" spans="1:3" x14ac:dyDescent="0.3">
      <c r="A15" s="2"/>
      <c r="B15" s="4"/>
    </row>
    <row r="16" spans="1:3" x14ac:dyDescent="0.3">
      <c r="A16" s="2"/>
      <c r="B16" s="4"/>
    </row>
    <row r="17" spans="1:2" x14ac:dyDescent="0.3">
      <c r="A17" s="2"/>
      <c r="B17" s="4"/>
    </row>
    <row r="18" spans="1:2" x14ac:dyDescent="0.3">
      <c r="A18" s="2"/>
      <c r="B18" s="5"/>
    </row>
    <row r="19" spans="1:2" x14ac:dyDescent="0.3">
      <c r="A19" s="8" t="s">
        <v>43</v>
      </c>
      <c r="B19" s="9">
        <f>B6+B9-B14</f>
        <v>39151</v>
      </c>
    </row>
    <row r="21" spans="1:2" x14ac:dyDescent="0.3">
      <c r="A21" t="s">
        <v>46</v>
      </c>
    </row>
    <row r="22" spans="1:2" x14ac:dyDescent="0.3">
      <c r="A22" t="s">
        <v>77</v>
      </c>
    </row>
    <row r="23" spans="1:2" x14ac:dyDescent="0.3">
      <c r="A23" t="s">
        <v>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800E-24D7-4289-B317-4BF1D4F5158C}">
  <dimension ref="A5:C29"/>
  <sheetViews>
    <sheetView topLeftCell="A5" workbookViewId="0">
      <selection activeCell="B6" sqref="B6"/>
    </sheetView>
  </sheetViews>
  <sheetFormatPr defaultRowHeight="14.4" x14ac:dyDescent="0.3"/>
  <cols>
    <col min="1" max="1" width="32.33203125" bestFit="1" customWidth="1"/>
    <col min="2" max="2" width="26.5546875" customWidth="1"/>
  </cols>
  <sheetData>
    <row r="5" spans="1:3" ht="32.25" customHeight="1" x14ac:dyDescent="0.3">
      <c r="A5" s="2"/>
      <c r="B5" s="11" t="s">
        <v>22</v>
      </c>
    </row>
    <row r="6" spans="1:3" ht="30.75" customHeight="1" x14ac:dyDescent="0.3">
      <c r="A6" s="19" t="s">
        <v>40</v>
      </c>
      <c r="B6" s="20">
        <f>46719-25000+12012</f>
        <v>33731</v>
      </c>
    </row>
    <row r="7" spans="1:3" x14ac:dyDescent="0.3">
      <c r="A7" s="3" t="s">
        <v>35</v>
      </c>
      <c r="B7" s="4">
        <f>37500</f>
        <v>37500</v>
      </c>
      <c r="C7" t="s">
        <v>112</v>
      </c>
    </row>
    <row r="8" spans="1:3" x14ac:dyDescent="0.3">
      <c r="A8" s="6" t="s">
        <v>36</v>
      </c>
      <c r="B8" s="4">
        <f>25000</f>
        <v>25000</v>
      </c>
    </row>
    <row r="9" spans="1:3" x14ac:dyDescent="0.3">
      <c r="A9" s="2" t="s">
        <v>5</v>
      </c>
      <c r="B9" s="7">
        <f t="shared" ref="B9" si="0">SUM(B7:B8)</f>
        <v>62500</v>
      </c>
    </row>
    <row r="10" spans="1:3" x14ac:dyDescent="0.3">
      <c r="A10" s="2"/>
      <c r="B10" s="5"/>
    </row>
    <row r="11" spans="1:3" x14ac:dyDescent="0.3">
      <c r="A11" s="6" t="s">
        <v>97</v>
      </c>
      <c r="B11" s="105">
        <v>75000</v>
      </c>
    </row>
    <row r="12" spans="1:3" x14ac:dyDescent="0.3">
      <c r="A12" s="6" t="s">
        <v>75</v>
      </c>
      <c r="B12" s="4">
        <f>1000</f>
        <v>1000</v>
      </c>
    </row>
    <row r="13" spans="1:3" x14ac:dyDescent="0.3">
      <c r="A13" s="6" t="s">
        <v>23</v>
      </c>
      <c r="B13" s="4">
        <v>10000</v>
      </c>
    </row>
    <row r="14" spans="1:3" x14ac:dyDescent="0.3">
      <c r="A14" s="6" t="s">
        <v>24</v>
      </c>
      <c r="B14" s="4">
        <v>15000</v>
      </c>
    </row>
    <row r="15" spans="1:3" x14ac:dyDescent="0.3">
      <c r="A15" s="2" t="s">
        <v>12</v>
      </c>
      <c r="B15" s="7">
        <f>SUM(B11:B14)</f>
        <v>101000</v>
      </c>
    </row>
    <row r="16" spans="1:3" x14ac:dyDescent="0.3">
      <c r="A16" s="2"/>
      <c r="B16" s="4"/>
    </row>
    <row r="17" spans="1:2" x14ac:dyDescent="0.3">
      <c r="A17" s="6" t="s">
        <v>9</v>
      </c>
      <c r="B17" s="4">
        <v>25000</v>
      </c>
    </row>
    <row r="18" spans="1:2" x14ac:dyDescent="0.3">
      <c r="A18" s="2" t="s">
        <v>45</v>
      </c>
      <c r="B18" s="4">
        <v>50000</v>
      </c>
    </row>
    <row r="19" spans="1:2" x14ac:dyDescent="0.3">
      <c r="A19" s="2"/>
      <c r="B19" s="5"/>
    </row>
    <row r="20" spans="1:2" x14ac:dyDescent="0.3">
      <c r="A20" s="8" t="s">
        <v>43</v>
      </c>
      <c r="B20" s="9">
        <f>B6+B9-B15-B17+B18</f>
        <v>20231</v>
      </c>
    </row>
    <row r="21" spans="1:2" x14ac:dyDescent="0.3">
      <c r="A21" s="8" t="s">
        <v>44</v>
      </c>
      <c r="B21" s="10">
        <f>264924+25000+B17-B18</f>
        <v>264924</v>
      </c>
    </row>
    <row r="26" spans="1:2" x14ac:dyDescent="0.3">
      <c r="A26" t="s">
        <v>39</v>
      </c>
    </row>
    <row r="28" spans="1:2" x14ac:dyDescent="0.3">
      <c r="A28" t="s">
        <v>122</v>
      </c>
    </row>
    <row r="29" spans="1:2" x14ac:dyDescent="0.3">
      <c r="A29" t="s">
        <v>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5FCF-7BB6-4DD5-ADFA-6322B1E0F0B4}">
  <dimension ref="A5:C27"/>
  <sheetViews>
    <sheetView topLeftCell="A4" workbookViewId="0">
      <selection activeCell="B11" sqref="B11"/>
    </sheetView>
  </sheetViews>
  <sheetFormatPr defaultRowHeight="14.4" x14ac:dyDescent="0.3"/>
  <cols>
    <col min="1" max="1" width="36.33203125" customWidth="1"/>
    <col min="2" max="2" width="26.5546875" customWidth="1"/>
  </cols>
  <sheetData>
    <row r="5" spans="1:3" x14ac:dyDescent="0.3">
      <c r="A5" s="2"/>
      <c r="B5" s="11" t="s">
        <v>25</v>
      </c>
    </row>
    <row r="6" spans="1:3" ht="21.75" customHeight="1" x14ac:dyDescent="0.3">
      <c r="A6" s="2" t="s">
        <v>40</v>
      </c>
      <c r="B6" s="18">
        <f>7750-6000+1970</f>
        <v>3720</v>
      </c>
    </row>
    <row r="7" spans="1:3" ht="21.75" customHeight="1" x14ac:dyDescent="0.3">
      <c r="A7" s="3" t="s">
        <v>98</v>
      </c>
      <c r="B7" s="4">
        <v>6000</v>
      </c>
    </row>
    <row r="8" spans="1:3" x14ac:dyDescent="0.3">
      <c r="A8" s="6" t="s">
        <v>99</v>
      </c>
      <c r="B8" s="4">
        <v>910000</v>
      </c>
      <c r="C8" t="s">
        <v>116</v>
      </c>
    </row>
    <row r="9" spans="1:3" x14ac:dyDescent="0.3">
      <c r="A9" s="2" t="s">
        <v>100</v>
      </c>
      <c r="B9" s="5">
        <v>30000</v>
      </c>
      <c r="C9" t="s">
        <v>101</v>
      </c>
    </row>
    <row r="10" spans="1:3" x14ac:dyDescent="0.3">
      <c r="A10" s="2" t="s">
        <v>5</v>
      </c>
      <c r="B10" s="7">
        <f>B7+B8+B9</f>
        <v>946000</v>
      </c>
    </row>
    <row r="11" spans="1:3" x14ac:dyDescent="0.3">
      <c r="A11" s="107"/>
      <c r="B11" s="105"/>
    </row>
    <row r="12" spans="1:3" x14ac:dyDescent="0.3">
      <c r="A12" s="6" t="s">
        <v>118</v>
      </c>
      <c r="B12" s="4">
        <v>910000</v>
      </c>
    </row>
    <row r="13" spans="1:3" x14ac:dyDescent="0.3">
      <c r="A13" s="6" t="s">
        <v>119</v>
      </c>
      <c r="B13" s="4">
        <v>30000</v>
      </c>
    </row>
    <row r="14" spans="1:3" x14ac:dyDescent="0.3">
      <c r="A14" s="6"/>
      <c r="B14" s="4"/>
    </row>
    <row r="15" spans="1:3" x14ac:dyDescent="0.3">
      <c r="A15" s="2" t="s">
        <v>12</v>
      </c>
      <c r="B15" s="7">
        <f>B12+B13</f>
        <v>940000</v>
      </c>
    </row>
    <row r="16" spans="1:3" x14ac:dyDescent="0.3">
      <c r="A16" s="2"/>
      <c r="B16" s="4"/>
    </row>
    <row r="17" spans="1:3" x14ac:dyDescent="0.3">
      <c r="A17" s="6" t="s">
        <v>9</v>
      </c>
      <c r="B17" s="39">
        <v>6000</v>
      </c>
    </row>
    <row r="18" spans="1:3" x14ac:dyDescent="0.3">
      <c r="A18" s="2" t="s">
        <v>45</v>
      </c>
      <c r="B18" s="105">
        <v>0</v>
      </c>
      <c r="C18" s="93"/>
    </row>
    <row r="19" spans="1:3" x14ac:dyDescent="0.3">
      <c r="A19" s="2"/>
      <c r="B19" s="4"/>
    </row>
    <row r="20" spans="1:3" x14ac:dyDescent="0.3">
      <c r="A20" s="2"/>
      <c r="B20" s="5"/>
    </row>
    <row r="21" spans="1:3" x14ac:dyDescent="0.3">
      <c r="A21" s="8" t="s">
        <v>43</v>
      </c>
      <c r="B21" s="9">
        <f>B6+B10-B15-B17</f>
        <v>3720</v>
      </c>
    </row>
    <row r="22" spans="1:3" x14ac:dyDescent="0.3">
      <c r="A22" s="8" t="s">
        <v>44</v>
      </c>
      <c r="B22" s="10">
        <f>29154+6000+B17-B18</f>
        <v>41154</v>
      </c>
    </row>
    <row r="25" spans="1:3" x14ac:dyDescent="0.3">
      <c r="A25" t="s">
        <v>121</v>
      </c>
    </row>
    <row r="26" spans="1:3" x14ac:dyDescent="0.3">
      <c r="A26" t="s">
        <v>80</v>
      </c>
      <c r="B26" s="94"/>
    </row>
    <row r="27" spans="1:3" x14ac:dyDescent="0.3">
      <c r="B27" s="10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9037-3F31-4010-B29A-2EB237D28A1C}">
  <dimension ref="A5:C27"/>
  <sheetViews>
    <sheetView workbookViewId="0">
      <selection activeCell="B7" sqref="B7"/>
    </sheetView>
  </sheetViews>
  <sheetFormatPr defaultRowHeight="14.4" x14ac:dyDescent="0.3"/>
  <cols>
    <col min="1" max="1" width="32.33203125" bestFit="1" customWidth="1"/>
    <col min="2" max="2" width="26.5546875" customWidth="1"/>
  </cols>
  <sheetData>
    <row r="5" spans="1:3" ht="28.8" x14ac:dyDescent="0.3">
      <c r="A5" s="14"/>
      <c r="B5" s="11" t="s">
        <v>27</v>
      </c>
    </row>
    <row r="6" spans="1:3" x14ac:dyDescent="0.3">
      <c r="A6" s="15" t="s">
        <v>40</v>
      </c>
      <c r="B6" s="4">
        <f>-4110-1578+4873</f>
        <v>-815</v>
      </c>
    </row>
    <row r="7" spans="1:3" x14ac:dyDescent="0.3">
      <c r="A7" s="15"/>
      <c r="B7" s="13"/>
    </row>
    <row r="8" spans="1:3" x14ac:dyDescent="0.3">
      <c r="A8" s="16" t="s">
        <v>35</v>
      </c>
      <c r="B8" s="4">
        <v>41250</v>
      </c>
      <c r="C8" t="s">
        <v>117</v>
      </c>
    </row>
    <row r="9" spans="1:3" x14ac:dyDescent="0.3">
      <c r="A9" s="17" t="s">
        <v>36</v>
      </c>
      <c r="B9" s="4">
        <f>1578</f>
        <v>1578</v>
      </c>
    </row>
    <row r="10" spans="1:3" x14ac:dyDescent="0.3">
      <c r="A10" s="15" t="s">
        <v>5</v>
      </c>
      <c r="B10" s="7">
        <f>SUM(B8:B9)</f>
        <v>42828</v>
      </c>
    </row>
    <row r="11" spans="1:3" x14ac:dyDescent="0.3">
      <c r="A11" s="15"/>
      <c r="B11" s="5"/>
    </row>
    <row r="12" spans="1:3" x14ac:dyDescent="0.3">
      <c r="A12" s="17" t="s">
        <v>23</v>
      </c>
      <c r="B12" s="4">
        <v>40800</v>
      </c>
    </row>
    <row r="13" spans="1:3" x14ac:dyDescent="0.3">
      <c r="A13" s="17" t="s">
        <v>76</v>
      </c>
      <c r="B13" s="4"/>
    </row>
    <row r="14" spans="1:3" x14ac:dyDescent="0.3">
      <c r="A14" s="17" t="s">
        <v>26</v>
      </c>
      <c r="B14" s="4"/>
    </row>
    <row r="15" spans="1:3" x14ac:dyDescent="0.3">
      <c r="A15" s="17"/>
      <c r="B15" s="4"/>
    </row>
    <row r="16" spans="1:3" x14ac:dyDescent="0.3">
      <c r="A16" s="15" t="s">
        <v>12</v>
      </c>
      <c r="B16" s="7">
        <f>SUM(B12:B15)</f>
        <v>40800</v>
      </c>
    </row>
    <row r="17" spans="1:2" x14ac:dyDescent="0.3">
      <c r="A17" s="15"/>
      <c r="B17" s="4"/>
    </row>
    <row r="18" spans="1:2" x14ac:dyDescent="0.3">
      <c r="A18" s="15"/>
      <c r="B18" s="4"/>
    </row>
    <row r="19" spans="1:2" x14ac:dyDescent="0.3">
      <c r="A19" s="17" t="s">
        <v>9</v>
      </c>
      <c r="B19" s="4">
        <v>1578</v>
      </c>
    </row>
    <row r="20" spans="1:2" x14ac:dyDescent="0.3">
      <c r="A20" s="15"/>
      <c r="B20" s="5"/>
    </row>
    <row r="21" spans="1:2" x14ac:dyDescent="0.3">
      <c r="A21" s="8" t="s">
        <v>41</v>
      </c>
      <c r="B21" s="9">
        <f>B6+B10-B16-B19</f>
        <v>-365</v>
      </c>
    </row>
    <row r="22" spans="1:2" x14ac:dyDescent="0.3">
      <c r="A22" s="8" t="s">
        <v>42</v>
      </c>
      <c r="B22" s="10">
        <f>13955+1578+B19</f>
        <v>17111</v>
      </c>
    </row>
    <row r="27" spans="1:2" x14ac:dyDescent="0.3">
      <c r="A27" t="s">
        <v>39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E320-1E2C-4C0C-A7AE-98E2541835AD}">
  <dimension ref="A5:C28"/>
  <sheetViews>
    <sheetView topLeftCell="B7" zoomScaleNormal="100" workbookViewId="0">
      <selection activeCell="K10" sqref="K10"/>
    </sheetView>
  </sheetViews>
  <sheetFormatPr defaultRowHeight="14.4" x14ac:dyDescent="0.3"/>
  <cols>
    <col min="1" max="1" width="32.33203125" bestFit="1" customWidth="1"/>
    <col min="2" max="2" width="26.5546875" customWidth="1"/>
  </cols>
  <sheetData>
    <row r="5" spans="1:3" x14ac:dyDescent="0.3">
      <c r="A5" s="2"/>
      <c r="B5" s="11" t="s">
        <v>28</v>
      </c>
    </row>
    <row r="6" spans="1:3" x14ac:dyDescent="0.3">
      <c r="A6" s="2" t="s">
        <v>40</v>
      </c>
      <c r="B6" s="20">
        <f>26056-3878</f>
        <v>22178</v>
      </c>
    </row>
    <row r="7" spans="1:3" x14ac:dyDescent="0.3">
      <c r="A7" s="2"/>
      <c r="B7" s="13"/>
    </row>
    <row r="8" spans="1:3" x14ac:dyDescent="0.3">
      <c r="A8" s="3" t="s">
        <v>3</v>
      </c>
      <c r="B8" s="4">
        <v>170000</v>
      </c>
      <c r="C8" t="s">
        <v>109</v>
      </c>
    </row>
    <row r="9" spans="1:3" x14ac:dyDescent="0.3">
      <c r="A9" s="6"/>
      <c r="B9" s="4"/>
    </row>
    <row r="10" spans="1:3" x14ac:dyDescent="0.3">
      <c r="A10" s="2" t="s">
        <v>5</v>
      </c>
      <c r="B10" s="7">
        <f>B8+B9</f>
        <v>170000</v>
      </c>
    </row>
    <row r="11" spans="1:3" x14ac:dyDescent="0.3">
      <c r="A11" s="2" t="s">
        <v>105</v>
      </c>
      <c r="B11" s="5">
        <v>700</v>
      </c>
    </row>
    <row r="12" spans="1:3" x14ac:dyDescent="0.3">
      <c r="A12" s="6" t="s">
        <v>29</v>
      </c>
      <c r="B12" s="4">
        <v>400</v>
      </c>
    </row>
    <row r="13" spans="1:3" x14ac:dyDescent="0.3">
      <c r="A13" s="6" t="s">
        <v>30</v>
      </c>
      <c r="B13" s="4">
        <v>2500</v>
      </c>
    </row>
    <row r="14" spans="1:3" x14ac:dyDescent="0.3">
      <c r="A14" s="6" t="s">
        <v>31</v>
      </c>
      <c r="B14" s="4">
        <v>1000</v>
      </c>
    </row>
    <row r="15" spans="1:3" x14ac:dyDescent="0.3">
      <c r="A15" s="6" t="s">
        <v>106</v>
      </c>
      <c r="B15" s="4">
        <v>4800</v>
      </c>
    </row>
    <row r="16" spans="1:3" x14ac:dyDescent="0.3">
      <c r="A16" s="6" t="s">
        <v>107</v>
      </c>
      <c r="B16" s="4">
        <v>7000</v>
      </c>
    </row>
    <row r="17" spans="1:3" x14ac:dyDescent="0.3">
      <c r="A17" s="6" t="s">
        <v>32</v>
      </c>
      <c r="B17" s="4">
        <v>70000</v>
      </c>
      <c r="C17" t="s">
        <v>108</v>
      </c>
    </row>
    <row r="18" spans="1:3" x14ac:dyDescent="0.3">
      <c r="A18" s="6" t="s">
        <v>33</v>
      </c>
      <c r="B18" s="4">
        <v>66000</v>
      </c>
      <c r="C18" s="12"/>
    </row>
    <row r="19" spans="1:3" x14ac:dyDescent="0.3">
      <c r="A19" s="6" t="s">
        <v>64</v>
      </c>
      <c r="B19" s="4">
        <v>4100</v>
      </c>
    </row>
    <row r="20" spans="1:3" x14ac:dyDescent="0.3">
      <c r="A20" s="6" t="s">
        <v>65</v>
      </c>
      <c r="B20" s="4">
        <v>1500</v>
      </c>
    </row>
    <row r="21" spans="1:3" x14ac:dyDescent="0.3">
      <c r="A21" s="2" t="s">
        <v>12</v>
      </c>
      <c r="B21" s="7">
        <f>SUM(B11:B20)</f>
        <v>158000</v>
      </c>
    </row>
    <row r="22" spans="1:3" x14ac:dyDescent="0.3">
      <c r="A22" s="2"/>
      <c r="B22" s="4"/>
    </row>
    <row r="23" spans="1:3" x14ac:dyDescent="0.3">
      <c r="A23" s="2" t="s">
        <v>66</v>
      </c>
      <c r="B23" s="4"/>
    </row>
    <row r="24" spans="1:3" x14ac:dyDescent="0.3">
      <c r="A24" s="6" t="s">
        <v>67</v>
      </c>
      <c r="B24" s="4">
        <v>2000</v>
      </c>
    </row>
    <row r="25" spans="1:3" x14ac:dyDescent="0.3">
      <c r="A25" s="6" t="s">
        <v>68</v>
      </c>
      <c r="B25" s="4">
        <v>8000</v>
      </c>
    </row>
    <row r="26" spans="1:3" x14ac:dyDescent="0.3">
      <c r="A26" s="6" t="s">
        <v>69</v>
      </c>
      <c r="B26" s="5">
        <v>2000</v>
      </c>
    </row>
    <row r="27" spans="1:3" x14ac:dyDescent="0.3">
      <c r="A27" s="2" t="s">
        <v>71</v>
      </c>
      <c r="B27" s="7">
        <f>B24+B25+B26</f>
        <v>12000</v>
      </c>
    </row>
    <row r="28" spans="1:3" x14ac:dyDescent="0.3">
      <c r="A28" s="8" t="s">
        <v>8</v>
      </c>
      <c r="B28" s="9">
        <f>B6+B10-B21-B27</f>
        <v>22178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Sammanställning</vt:lpstr>
      <vt:lpstr>Blad1</vt:lpstr>
      <vt:lpstr>GA11 Vägar</vt:lpstr>
      <vt:lpstr>GA12 Sopstation</vt:lpstr>
      <vt:lpstr>GA13 Grönområde</vt:lpstr>
      <vt:lpstr>GA14 Vatten Ö.Skrållan</vt:lpstr>
      <vt:lpstr>GA15 Avlopp Ö.Skrållan</vt:lpstr>
      <vt:lpstr>GA16 Vatten Rosenberg</vt:lpstr>
      <vt:lpstr>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Barbro Johansson</cp:lastModifiedBy>
  <cp:lastPrinted>2025-03-12T07:33:27Z</cp:lastPrinted>
  <dcterms:created xsi:type="dcterms:W3CDTF">2021-11-01T20:18:44Z</dcterms:created>
  <dcterms:modified xsi:type="dcterms:W3CDTF">2025-03-12T07:33:27Z</dcterms:modified>
</cp:coreProperties>
</file>